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FLHD\2 Forestry and Timber\Statistics (AM)\Engineered Wood Products\EWP2017\"/>
    </mc:Choice>
  </mc:AlternateContent>
  <xr:revisionPtr revIDLastSave="0" documentId="13_ncr:1_{C47D4061-DE65-4BD5-BC19-CC9728CD29E9}" xr6:coauthVersionLast="41" xr6:coauthVersionMax="41" xr10:uidLastSave="{00000000-0000-0000-0000-000000000000}"/>
  <bookViews>
    <workbookView xWindow="-120" yWindow="-120" windowWidth="29040" windowHeight="15840" xr2:uid="{00000000-000D-0000-FFFF-FFFF00000000}"/>
  </bookViews>
  <sheets>
    <sheet name="Glulam" sheetId="1" r:id="rId1"/>
    <sheet name="CLT" sheetId="3" r:id="rId2"/>
    <sheet name="I-Beam" sheetId="4" r:id="rId3"/>
    <sheet name="LVL" sheetId="5" r:id="rId4"/>
    <sheet name="Questionnaire" sheetId="6" r:id="rId5"/>
  </sheets>
  <definedNames>
    <definedName name="_xlnm.Print_Area" localSheetId="1">CLT!$B$1:$L$42</definedName>
    <definedName name="_xlnm.Print_Area" localSheetId="0">Glulam!$B$1:$L$42</definedName>
    <definedName name="_xlnm.Print_Area" localSheetId="2">'I-Beam'!$B$1:$L$42</definedName>
    <definedName name="_xlnm.Print_Area" localSheetId="3">LVL!$B$4:$L$42</definedName>
    <definedName name="_xlnm.Print_Area" localSheetId="4">Questionnaire!$A$1:$K$63</definedName>
    <definedName name="Z_E59B5840_EF58_11D3_B672_B1E0953C1B26_.wvu.PrintArea" localSheetId="4" hidden="1">Questionnaire!$A$1:$E$24</definedName>
    <definedName name="Z_E59B5840_EF58_11D3_B672_B1E0953C1B26_.wvu.PrintTitles" localSheetId="4" hidden="1">Questionnaire!$1:$11</definedName>
    <definedName name="Z_E59B5840_EF58_11D3_B672_B1E0953C1B26_.wvu.Rows" localSheetId="4" hidden="1">Questionnaire!#REF!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6" l="1"/>
  <c r="H19" i="6" s="1"/>
  <c r="E10" i="6"/>
  <c r="F19" i="6" l="1"/>
  <c r="J19" i="6" s="1"/>
  <c r="H22" i="5" l="1"/>
  <c r="F22" i="5"/>
  <c r="H22" i="4"/>
  <c r="F22" i="4"/>
  <c r="H22" i="3"/>
  <c r="H22" i="1"/>
  <c r="D12" i="4" l="1"/>
  <c r="C12" i="4"/>
  <c r="K12" i="5"/>
  <c r="G12" i="5"/>
  <c r="E12" i="5"/>
  <c r="G12" i="4"/>
  <c r="E12" i="4"/>
  <c r="K12" i="3"/>
  <c r="I12" i="3"/>
  <c r="G12" i="3"/>
  <c r="E12" i="3"/>
  <c r="D12" i="3"/>
  <c r="C12" i="3"/>
  <c r="K12" i="1"/>
  <c r="I12" i="1"/>
  <c r="G12" i="1"/>
  <c r="E12" i="1"/>
  <c r="K40" i="5" l="1"/>
  <c r="I40" i="5"/>
  <c r="G40" i="5"/>
  <c r="E40" i="5"/>
  <c r="E40" i="1"/>
  <c r="G40" i="1"/>
  <c r="I40" i="1"/>
  <c r="K40" i="1"/>
  <c r="K40" i="4"/>
  <c r="I40" i="4"/>
  <c r="G40" i="4"/>
  <c r="E40" i="4"/>
  <c r="E40" i="3"/>
  <c r="G40" i="3"/>
  <c r="I40" i="3"/>
  <c r="K40" i="3"/>
  <c r="E38" i="5" l="1"/>
  <c r="K38" i="4"/>
  <c r="I38" i="4"/>
  <c r="G38" i="4"/>
  <c r="K38" i="1"/>
  <c r="G38" i="1"/>
  <c r="L37" i="5" l="1"/>
  <c r="H37" i="5"/>
  <c r="J37" i="5"/>
  <c r="F37" i="5"/>
  <c r="L37" i="4"/>
  <c r="H37" i="4"/>
  <c r="J37" i="4"/>
  <c r="F37" i="4"/>
  <c r="L37" i="3"/>
  <c r="H37" i="3"/>
  <c r="L37" i="1"/>
  <c r="H37" i="1"/>
  <c r="L33" i="5" l="1"/>
  <c r="J33" i="5"/>
  <c r="H33" i="5"/>
  <c r="F33" i="5"/>
  <c r="L33" i="4"/>
  <c r="J33" i="4"/>
  <c r="H33" i="4"/>
  <c r="F33" i="4"/>
  <c r="L33" i="3"/>
  <c r="J33" i="3"/>
  <c r="H33" i="3"/>
  <c r="F33" i="3"/>
  <c r="L33" i="1"/>
  <c r="J33" i="1"/>
  <c r="H33" i="1"/>
  <c r="F33" i="1"/>
  <c r="L31" i="5" l="1"/>
  <c r="H31" i="5"/>
  <c r="J31" i="5"/>
  <c r="F31" i="5"/>
  <c r="L31" i="4"/>
  <c r="H31" i="4"/>
  <c r="J31" i="4"/>
  <c r="F31" i="4"/>
  <c r="L31" i="3"/>
  <c r="J31" i="3"/>
  <c r="H31" i="3"/>
  <c r="F31" i="3"/>
  <c r="L31" i="1"/>
  <c r="J31" i="1"/>
  <c r="H31" i="1"/>
  <c r="F31" i="1"/>
  <c r="J21" i="1"/>
  <c r="F21" i="1"/>
  <c r="L29" i="5" l="1"/>
  <c r="J29" i="5"/>
  <c r="H29" i="5"/>
  <c r="F29" i="5"/>
  <c r="L29" i="4"/>
  <c r="H29" i="4"/>
  <c r="J29" i="4"/>
  <c r="F29" i="4"/>
  <c r="H29" i="3"/>
  <c r="F29" i="3"/>
  <c r="L29" i="1"/>
  <c r="J29" i="1"/>
  <c r="H29" i="1"/>
  <c r="F29" i="1"/>
  <c r="F26" i="5" l="1"/>
  <c r="J26" i="4"/>
  <c r="H26" i="4"/>
  <c r="F26" i="4"/>
  <c r="L26" i="3"/>
  <c r="H26" i="3"/>
  <c r="H26" i="1"/>
  <c r="H25" i="5" l="1"/>
  <c r="F25" i="5"/>
  <c r="D25" i="4"/>
  <c r="C25" i="4"/>
  <c r="H25" i="3"/>
  <c r="G25" i="3"/>
  <c r="H25" i="1"/>
  <c r="G25" i="1"/>
  <c r="F25" i="1"/>
  <c r="E25" i="1"/>
  <c r="K23" i="1" l="1"/>
  <c r="L23" i="1" l="1"/>
  <c r="H23" i="1"/>
  <c r="G23" i="1"/>
  <c r="L21" i="1" l="1"/>
  <c r="G21" i="1"/>
  <c r="I21" i="1"/>
  <c r="K21" i="1"/>
  <c r="H21" i="1"/>
  <c r="E21" i="1"/>
  <c r="L20" i="5" l="1"/>
  <c r="H20" i="5"/>
  <c r="J20" i="5"/>
  <c r="F20" i="5"/>
  <c r="L20" i="4"/>
  <c r="H20" i="4"/>
  <c r="J20" i="4"/>
  <c r="F20" i="4"/>
  <c r="L20" i="1"/>
  <c r="F20" i="1"/>
  <c r="J20" i="1"/>
  <c r="K20" i="1"/>
  <c r="I20" i="1"/>
  <c r="G20" i="1"/>
  <c r="H20" i="1"/>
  <c r="E20" i="1"/>
  <c r="L18" i="4" l="1"/>
  <c r="J18" i="4"/>
  <c r="H18" i="4"/>
  <c r="F18" i="4"/>
  <c r="K18" i="1"/>
  <c r="I18" i="1"/>
  <c r="G18" i="1"/>
  <c r="E18" i="1"/>
  <c r="L18" i="1"/>
  <c r="J18" i="1"/>
  <c r="H18" i="1"/>
  <c r="F18" i="1"/>
  <c r="L14" i="5" l="1"/>
  <c r="J14" i="5"/>
  <c r="H14" i="5"/>
  <c r="F14" i="5"/>
  <c r="L14" i="4"/>
  <c r="J14" i="4"/>
  <c r="H14" i="4"/>
  <c r="F14" i="4"/>
  <c r="L14" i="3"/>
  <c r="J14" i="3"/>
  <c r="H14" i="3"/>
  <c r="F14" i="3"/>
  <c r="L14" i="1"/>
  <c r="H14" i="1"/>
  <c r="J14" i="1"/>
  <c r="F14" i="1"/>
  <c r="H11" i="5" l="1"/>
  <c r="F11" i="5"/>
  <c r="D9" i="5"/>
  <c r="H11" i="4"/>
  <c r="F11" i="4"/>
  <c r="D9" i="4"/>
  <c r="K11" i="3"/>
  <c r="G11" i="3"/>
  <c r="E11" i="3"/>
  <c r="L11" i="3"/>
  <c r="H11" i="3"/>
  <c r="F11" i="3"/>
  <c r="D9" i="3"/>
  <c r="K11" i="1"/>
  <c r="G11" i="1"/>
  <c r="L11" i="1"/>
  <c r="H11" i="1"/>
  <c r="D9" i="1"/>
</calcChain>
</file>

<file path=xl/sharedStrings.xml><?xml version="1.0" encoding="utf-8"?>
<sst xmlns="http://schemas.openxmlformats.org/spreadsheetml/2006/main" count="676" uniqueCount="85">
  <si>
    <t>Production</t>
  </si>
  <si>
    <t>Country</t>
  </si>
  <si>
    <t>Armenia</t>
  </si>
  <si>
    <t>Glulam</t>
  </si>
  <si>
    <t>Import</t>
  </si>
  <si>
    <t>Export</t>
  </si>
  <si>
    <t>Engineered Wood Products</t>
  </si>
  <si>
    <t>…</t>
  </si>
  <si>
    <t>1000 m3</t>
  </si>
  <si>
    <t>1000$</t>
  </si>
  <si>
    <t>1.69 m3 / MT</t>
  </si>
  <si>
    <t>Conversion factors</t>
  </si>
  <si>
    <t>CLT</t>
  </si>
  <si>
    <t>2.0 m3  / MT</t>
  </si>
  <si>
    <t>I-beams</t>
  </si>
  <si>
    <t>1.68 m3 / MT or 222 linear meters / MT</t>
  </si>
  <si>
    <t>LVL</t>
  </si>
  <si>
    <t>I-Beam / I -Joist</t>
  </si>
  <si>
    <t>Azerbaijan</t>
  </si>
  <si>
    <t>1000 mt</t>
  </si>
  <si>
    <t>Bosnia-Herzegovina</t>
  </si>
  <si>
    <t>Bulgaria</t>
  </si>
  <si>
    <t>Canada</t>
  </si>
  <si>
    <t>+++</t>
  </si>
  <si>
    <t>Croatia</t>
  </si>
  <si>
    <t>Finland</t>
  </si>
  <si>
    <t>France</t>
  </si>
  <si>
    <t>Germany</t>
  </si>
  <si>
    <t>Italy</t>
  </si>
  <si>
    <t>Kyrgyzstan</t>
  </si>
  <si>
    <t>Malta</t>
  </si>
  <si>
    <t>Netherlands</t>
  </si>
  <si>
    <t>Poland</t>
  </si>
  <si>
    <t>Portugal</t>
  </si>
  <si>
    <t>Serbia</t>
  </si>
  <si>
    <t>Slovakia</t>
  </si>
  <si>
    <t>Slovenia</t>
  </si>
  <si>
    <t>Spain</t>
  </si>
  <si>
    <t>Sweden</t>
  </si>
  <si>
    <t>North Macedonia</t>
  </si>
  <si>
    <t>Turkey</t>
  </si>
  <si>
    <t>Ukraine</t>
  </si>
  <si>
    <t>United Kingdom</t>
  </si>
  <si>
    <t>United States</t>
  </si>
  <si>
    <r>
      <t>France</t>
    </r>
    <r>
      <rPr>
        <vertAlign val="superscript"/>
        <sz val="11"/>
        <color theme="1"/>
        <rFont val="Arial"/>
        <family val="2"/>
      </rPr>
      <t>1</t>
    </r>
  </si>
  <si>
    <r>
      <rPr>
        <vertAlign val="superscript"/>
        <sz val="11"/>
        <color theme="1"/>
        <rFont val="Arial"/>
        <family val="2"/>
      </rPr>
      <t>1</t>
    </r>
    <r>
      <rPr>
        <sz val="11"/>
        <color theme="1"/>
        <rFont val="Arial"/>
        <family val="2"/>
      </rPr>
      <t xml:space="preserve"> Trade includes CLT</t>
    </r>
  </si>
  <si>
    <r>
      <rPr>
        <vertAlign val="superscript"/>
        <sz val="11"/>
        <color theme="1"/>
        <rFont val="Arial"/>
        <family val="2"/>
      </rPr>
      <t>1</t>
    </r>
    <r>
      <rPr>
        <sz val="11"/>
        <color theme="1"/>
        <rFont val="Arial"/>
        <family val="2"/>
      </rPr>
      <t xml:space="preserve"> Trade is included under glulam</t>
    </r>
  </si>
  <si>
    <t>Iceland</t>
  </si>
  <si>
    <t>… = information not available</t>
  </si>
  <si>
    <t>+++ = data exist and are confidential</t>
  </si>
  <si>
    <t>Cross-Laminated Timber (CLT)</t>
  </si>
  <si>
    <t>Laminated Veneer Lumber (LVL)</t>
  </si>
  <si>
    <t>Cyprus</t>
  </si>
  <si>
    <r>
      <t>United States</t>
    </r>
    <r>
      <rPr>
        <vertAlign val="superscript"/>
        <sz val="11"/>
        <color theme="1"/>
        <rFont val="Arial"/>
        <family val="2"/>
      </rPr>
      <t>2</t>
    </r>
  </si>
  <si>
    <r>
      <rPr>
        <vertAlign val="superscript"/>
        <sz val="11"/>
        <color theme="1"/>
        <rFont val="Arial"/>
        <family val="2"/>
      </rPr>
      <t xml:space="preserve">2 </t>
    </r>
    <r>
      <rPr>
        <sz val="11"/>
        <color theme="1"/>
        <rFont val="Arial"/>
        <family val="2"/>
      </rPr>
      <t>Derived from Beck Group study</t>
    </r>
  </si>
  <si>
    <r>
      <t>Canada</t>
    </r>
    <r>
      <rPr>
        <vertAlign val="superscript"/>
        <sz val="11"/>
        <color theme="1"/>
        <rFont val="Arial"/>
        <family val="2"/>
      </rPr>
      <t>2</t>
    </r>
  </si>
  <si>
    <t xml:space="preserve"> </t>
  </si>
  <si>
    <t xml:space="preserve">Country: </t>
  </si>
  <si>
    <t>Date:</t>
  </si>
  <si>
    <t>Name of Official responsible for reply:</t>
  </si>
  <si>
    <t>Official Address (in full):</t>
  </si>
  <si>
    <t>ENGINEERED WOOD PRODUCTS</t>
  </si>
  <si>
    <t>Telephone:</t>
  </si>
  <si>
    <t>Fax:</t>
  </si>
  <si>
    <t>Production and Trade</t>
  </si>
  <si>
    <t>E-mail:</t>
  </si>
  <si>
    <t>Product</t>
  </si>
  <si>
    <t>Quantity Unit</t>
  </si>
  <si>
    <t>Code</t>
  </si>
  <si>
    <t>Quantity</t>
  </si>
  <si>
    <t>PRODUCTION</t>
  </si>
  <si>
    <t>EWP 1</t>
  </si>
  <si>
    <t>GLULAM</t>
  </si>
  <si>
    <t>1000 m3 (solid)</t>
  </si>
  <si>
    <t>EWP 2</t>
  </si>
  <si>
    <t>CROSS-LAMINATED TIMBER (CLT or X-LAM)</t>
  </si>
  <si>
    <t>EWP 3</t>
  </si>
  <si>
    <t>I-BEAMS / I-JOISTS</t>
  </si>
  <si>
    <r>
      <rPr>
        <b/>
        <sz val="10"/>
        <rFont val="Univers"/>
      </rPr>
      <t>Unit of value</t>
    </r>
    <r>
      <rPr>
        <sz val="10"/>
        <rFont val="Univers"/>
        <family val="2"/>
      </rPr>
      <t>: 1000 national currency (or please indicate if different)</t>
    </r>
  </si>
  <si>
    <t>EWP 4</t>
  </si>
  <si>
    <t>LAMINATED VENEER LUMBER</t>
  </si>
  <si>
    <t>TRADE</t>
  </si>
  <si>
    <t xml:space="preserve">                                                                             </t>
  </si>
  <si>
    <t>Value</t>
  </si>
  <si>
    <t>Please address any suggestions to stats.timber@un.org.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</si>
</sst>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0"/>
  </numFmts>
  <fonts count="21" x14ac:knownFonts="1">
    <font>
      <sz val="11"/>
      <color theme="1"/>
      <name val="Calibri"/>
      <family val="2"/>
      <scheme val="minor"/>
    </font>
    <font>
      <sz val="11"/>
      <color theme="1"/>
      <name val="Arial"/>
      <family val="2"/>
    </font>
    <font>
      <sz val="11"/>
      <name val="Arial"/>
      <family val="2"/>
    </font>
    <font>
      <b/>
      <sz val="12"/>
      <color theme="1"/>
      <name val="Arial"/>
      <family val="2"/>
    </font>
    <font>
      <b/>
      <sz val="11"/>
      <color theme="9" tint="-0.249977111117893"/>
      <name val="Arial"/>
      <family val="2"/>
    </font>
    <font>
      <b/>
      <sz val="11"/>
      <color theme="1"/>
      <name val="Arial"/>
      <family val="2"/>
    </font>
    <font>
      <sz val="11"/>
      <color rgb="FFFF0000"/>
      <name val="Arial"/>
      <family val="2"/>
    </font>
    <font>
      <vertAlign val="superscript"/>
      <sz val="11"/>
      <color theme="1"/>
      <name val="Arial"/>
      <family val="2"/>
    </font>
    <font>
      <sz val="10"/>
      <name val="Courier"/>
    </font>
    <font>
      <b/>
      <sz val="10"/>
      <name val="Univers"/>
      <family val="2"/>
    </font>
    <font>
      <sz val="10"/>
      <name val="Univers"/>
      <family val="2"/>
    </font>
    <font>
      <sz val="10"/>
      <color indexed="12"/>
      <name val="Univers"/>
      <family val="2"/>
    </font>
    <font>
      <b/>
      <sz val="24"/>
      <name val="Univers"/>
      <family val="2"/>
    </font>
    <font>
      <sz val="10"/>
      <name val="Courier"/>
      <family val="3"/>
    </font>
    <font>
      <sz val="10"/>
      <name val="Arial"/>
      <family val="2"/>
    </font>
    <font>
      <b/>
      <sz val="12"/>
      <color theme="4" tint="-0.249977111117893"/>
      <name val="Univers"/>
      <family val="2"/>
    </font>
    <font>
      <sz val="10"/>
      <color indexed="9"/>
      <name val="Univers"/>
      <family val="2"/>
    </font>
    <font>
      <b/>
      <sz val="10"/>
      <name val="Arial"/>
      <family val="2"/>
    </font>
    <font>
      <sz val="10"/>
      <color indexed="39"/>
      <name val="Univers"/>
      <family val="2"/>
    </font>
    <font>
      <sz val="10"/>
      <name val="Univers"/>
    </font>
    <font>
      <b/>
      <sz val="10"/>
      <name val="Univers"/>
    </font>
  </fonts>
  <fills count="3">
    <fill>
      <patternFill patternType="none"/>
    </fill>
    <fill>
      <patternFill patternType="gray125"/>
    </fill>
    <fill>
      <patternFill patternType="solid">
        <fgColor indexed="22"/>
        <bgColor indexed="64"/>
      </patternFill>
    </fill>
  </fills>
  <borders count="39">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8" fillId="0" borderId="0"/>
    <xf numFmtId="0" fontId="13" fillId="0" borderId="0"/>
  </cellStyleXfs>
  <cellXfs count="141">
    <xf numFmtId="0" fontId="0" fillId="0" borderId="0" xfId="0"/>
    <xf numFmtId="0" fontId="1" fillId="0" borderId="0" xfId="0" applyFont="1"/>
    <xf numFmtId="0" fontId="1" fillId="0" borderId="3" xfId="0" applyFont="1" applyBorder="1"/>
    <xf numFmtId="0" fontId="2" fillId="0" borderId="2" xfId="0"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4" xfId="0" applyFont="1" applyBorder="1" applyAlignment="1">
      <alignment horizontal="center"/>
    </xf>
    <xf numFmtId="0" fontId="1" fillId="0" borderId="3" xfId="0" applyFont="1" applyBorder="1" applyAlignment="1">
      <alignment horizontal="center"/>
    </xf>
    <xf numFmtId="0" fontId="3" fillId="0" borderId="0" xfId="0" applyFont="1"/>
    <xf numFmtId="164" fontId="1" fillId="0" borderId="7" xfId="0" applyNumberFormat="1" applyFont="1" applyBorder="1"/>
    <xf numFmtId="165" fontId="1" fillId="0" borderId="0" xfId="0" applyNumberFormat="1" applyFont="1"/>
    <xf numFmtId="164" fontId="1" fillId="0" borderId="5" xfId="0" applyNumberFormat="1" applyFont="1" applyBorder="1"/>
    <xf numFmtId="165" fontId="1" fillId="0" borderId="0" xfId="0" applyNumberFormat="1" applyFont="1" applyBorder="1"/>
    <xf numFmtId="0" fontId="1" fillId="0" borderId="1" xfId="0" applyFont="1" applyBorder="1" applyAlignment="1" applyProtection="1">
      <alignment horizontal="center" vertical="center"/>
    </xf>
    <xf numFmtId="0" fontId="4" fillId="0" borderId="0" xfId="0" applyFont="1"/>
    <xf numFmtId="164" fontId="1" fillId="0" borderId="7" xfId="0" applyNumberFormat="1" applyFont="1" applyBorder="1" applyAlignment="1">
      <alignment horizontal="right"/>
    </xf>
    <xf numFmtId="164" fontId="1" fillId="0" borderId="0" xfId="0" applyNumberFormat="1" applyFont="1" applyAlignment="1">
      <alignment horizontal="right"/>
    </xf>
    <xf numFmtId="164" fontId="1" fillId="0" borderId="5" xfId="0" applyNumberFormat="1" applyFont="1" applyBorder="1" applyAlignment="1">
      <alignment horizontal="right"/>
    </xf>
    <xf numFmtId="164" fontId="1" fillId="0" borderId="0" xfId="0" applyNumberFormat="1" applyFont="1" applyBorder="1" applyAlignment="1">
      <alignment horizontal="right"/>
    </xf>
    <xf numFmtId="164" fontId="1" fillId="0" borderId="5" xfId="0" quotePrefix="1" applyNumberFormat="1" applyFont="1" applyBorder="1" applyAlignment="1">
      <alignment horizontal="right"/>
    </xf>
    <xf numFmtId="164" fontId="1" fillId="0" borderId="0" xfId="0" quotePrefix="1" applyNumberFormat="1" applyFont="1" applyBorder="1" applyAlignment="1">
      <alignment horizontal="right"/>
    </xf>
    <xf numFmtId="165" fontId="1" fillId="0" borderId="0" xfId="0" applyNumberFormat="1" applyFont="1" applyBorder="1" applyAlignment="1">
      <alignment horizontal="right"/>
    </xf>
    <xf numFmtId="0" fontId="5" fillId="0" borderId="0" xfId="0" applyFont="1"/>
    <xf numFmtId="0" fontId="6" fillId="0" borderId="0" xfId="0" applyFont="1"/>
    <xf numFmtId="164" fontId="1" fillId="0" borderId="4" xfId="0" applyNumberFormat="1" applyFont="1" applyBorder="1" applyAlignment="1">
      <alignment horizontal="right"/>
    </xf>
    <xf numFmtId="164" fontId="1" fillId="0" borderId="3" xfId="0" applyNumberFormat="1" applyFont="1" applyBorder="1" applyAlignment="1">
      <alignment horizontal="right"/>
    </xf>
    <xf numFmtId="165" fontId="1" fillId="0" borderId="3" xfId="0" applyNumberFormat="1" applyFont="1" applyBorder="1" applyAlignment="1">
      <alignment horizontal="right"/>
    </xf>
    <xf numFmtId="0" fontId="1" fillId="0" borderId="0" xfId="0" quotePrefix="1" applyFont="1"/>
    <xf numFmtId="0" fontId="1" fillId="0" borderId="0" xfId="0" applyFont="1" applyAlignment="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3" fillId="0" borderId="0" xfId="0" applyFont="1" applyAlignment="1">
      <alignment horizontal="center"/>
    </xf>
    <xf numFmtId="0" fontId="1" fillId="0" borderId="6" xfId="0" applyFont="1" applyBorder="1" applyAlignment="1">
      <alignment horizontal="center"/>
    </xf>
    <xf numFmtId="0" fontId="9" fillId="0" borderId="8" xfId="1" applyFont="1" applyBorder="1" applyAlignment="1" applyProtection="1">
      <alignment horizontal="center"/>
    </xf>
    <xf numFmtId="0" fontId="10" fillId="0" borderId="9" xfId="1" applyFont="1" applyBorder="1" applyAlignment="1" applyProtection="1">
      <alignment horizontal="center"/>
    </xf>
    <xf numFmtId="0" fontId="9" fillId="0" borderId="10" xfId="1" applyFont="1" applyBorder="1" applyAlignment="1" applyProtection="1">
      <alignment horizontal="left" vertical="center"/>
    </xf>
    <xf numFmtId="0" fontId="10" fillId="0" borderId="11" xfId="1" applyFont="1" applyBorder="1" applyAlignment="1" applyProtection="1">
      <alignment vertical="center"/>
      <protection locked="0"/>
    </xf>
    <xf numFmtId="0" fontId="9" fillId="0" borderId="12" xfId="1" applyFont="1" applyBorder="1" applyAlignment="1" applyProtection="1">
      <alignment vertical="center"/>
      <protection locked="0"/>
    </xf>
    <xf numFmtId="0" fontId="10" fillId="0" borderId="0" xfId="1" applyFont="1" applyProtection="1">
      <protection locked="0"/>
    </xf>
    <xf numFmtId="0" fontId="9" fillId="0" borderId="13" xfId="1" applyFont="1" applyBorder="1" applyAlignment="1" applyProtection="1">
      <alignment horizontal="center"/>
    </xf>
    <xf numFmtId="0" fontId="11" fillId="0" borderId="6" xfId="1" applyFont="1" applyBorder="1" applyAlignment="1" applyProtection="1">
      <alignment horizontal="center"/>
    </xf>
    <xf numFmtId="0" fontId="9" fillId="0" borderId="14" xfId="1" applyFont="1" applyBorder="1" applyAlignment="1" applyProtection="1">
      <alignment horizontal="left" vertical="center"/>
    </xf>
    <xf numFmtId="0" fontId="10" fillId="0" borderId="15" xfId="1" applyFont="1" applyBorder="1" applyAlignment="1" applyProtection="1">
      <alignment vertical="center"/>
    </xf>
    <xf numFmtId="0" fontId="10" fillId="0" borderId="16" xfId="1" applyFont="1" applyBorder="1" applyAlignment="1" applyProtection="1">
      <alignment vertical="center"/>
      <protection locked="0"/>
    </xf>
    <xf numFmtId="0" fontId="9" fillId="0" borderId="15" xfId="1" applyFont="1" applyBorder="1" applyAlignment="1" applyProtection="1">
      <alignment horizontal="left" vertical="center"/>
      <protection locked="0"/>
    </xf>
    <xf numFmtId="0" fontId="10" fillId="0" borderId="15" xfId="1" applyFont="1" applyBorder="1" applyAlignment="1" applyProtection="1">
      <alignment vertical="center"/>
      <protection locked="0"/>
    </xf>
    <xf numFmtId="0" fontId="10" fillId="0" borderId="16" xfId="1" applyFont="1" applyBorder="1" applyAlignment="1" applyProtection="1">
      <alignment vertical="center"/>
      <protection locked="0"/>
    </xf>
    <xf numFmtId="0" fontId="9" fillId="0" borderId="15" xfId="1" applyFont="1" applyBorder="1" applyAlignment="1" applyProtection="1">
      <alignment horizontal="left" vertical="center"/>
    </xf>
    <xf numFmtId="0" fontId="10" fillId="0" borderId="15" xfId="1" applyFont="1" applyBorder="1" applyAlignment="1" applyProtection="1">
      <alignment vertical="center"/>
    </xf>
    <xf numFmtId="0" fontId="12" fillId="0" borderId="13" xfId="1" applyFont="1" applyBorder="1" applyAlignment="1" applyProtection="1">
      <alignment horizontal="center"/>
    </xf>
    <xf numFmtId="0" fontId="12" fillId="0" borderId="6" xfId="1" applyFont="1" applyBorder="1" applyAlignment="1" applyProtection="1">
      <alignment horizontal="center"/>
    </xf>
    <xf numFmtId="0" fontId="9" fillId="0" borderId="17" xfId="1" applyFont="1" applyBorder="1" applyAlignment="1" applyProtection="1">
      <alignment horizontal="left" vertical="center"/>
      <protection locked="0"/>
    </xf>
    <xf numFmtId="0" fontId="10" fillId="0" borderId="17" xfId="1" applyFont="1" applyBorder="1" applyAlignment="1" applyProtection="1">
      <alignment vertical="center"/>
      <protection locked="0"/>
    </xf>
    <xf numFmtId="0" fontId="10" fillId="0" borderId="18" xfId="1" applyFont="1" applyBorder="1" applyAlignment="1" applyProtection="1">
      <alignment vertical="center"/>
      <protection locked="0"/>
    </xf>
    <xf numFmtId="0" fontId="10" fillId="0" borderId="0" xfId="1" applyFont="1" applyFill="1" applyProtection="1">
      <protection locked="0"/>
    </xf>
    <xf numFmtId="0" fontId="9" fillId="0" borderId="17" xfId="1" applyFont="1" applyBorder="1" applyAlignment="1" applyProtection="1">
      <alignment horizontal="left" vertical="center"/>
      <protection locked="0"/>
    </xf>
    <xf numFmtId="0" fontId="10" fillId="0" borderId="17" xfId="1" applyFont="1" applyBorder="1" applyAlignment="1" applyProtection="1">
      <alignment vertical="center"/>
      <protection locked="0"/>
    </xf>
    <xf numFmtId="0" fontId="10" fillId="0" borderId="18" xfId="1" applyFont="1" applyBorder="1" applyAlignment="1" applyProtection="1">
      <alignment vertical="center"/>
      <protection locked="0"/>
    </xf>
    <xf numFmtId="0" fontId="14" fillId="0" borderId="0" xfId="2" applyFont="1" applyProtection="1">
      <protection locked="0"/>
    </xf>
    <xf numFmtId="0" fontId="14" fillId="0" borderId="0" xfId="2" applyFont="1" applyFill="1" applyProtection="1">
      <protection locked="0"/>
    </xf>
    <xf numFmtId="0" fontId="15" fillId="0" borderId="13" xfId="1" applyFont="1" applyBorder="1" applyAlignment="1" applyProtection="1">
      <alignment horizontal="center" vertical="center"/>
    </xf>
    <xf numFmtId="0" fontId="15" fillId="0" borderId="6" xfId="1" applyFont="1" applyBorder="1" applyAlignment="1" applyProtection="1">
      <alignment horizontal="center" vertical="center"/>
    </xf>
    <xf numFmtId="0" fontId="10" fillId="0" borderId="19" xfId="1" applyFont="1" applyBorder="1" applyAlignment="1" applyProtection="1">
      <alignment vertical="center"/>
      <protection locked="0"/>
    </xf>
    <xf numFmtId="0" fontId="9" fillId="0" borderId="20" xfId="1" applyFont="1" applyBorder="1" applyAlignment="1" applyProtection="1">
      <alignment vertical="center"/>
      <protection locked="0"/>
    </xf>
    <xf numFmtId="0" fontId="10" fillId="0" borderId="15" xfId="1" applyFont="1" applyBorder="1" applyAlignment="1" applyProtection="1">
      <alignment vertical="center"/>
      <protection locked="0"/>
    </xf>
    <xf numFmtId="0" fontId="9" fillId="0" borderId="21" xfId="1" applyFont="1" applyBorder="1" applyAlignment="1" applyProtection="1">
      <alignment horizontal="center"/>
    </xf>
    <xf numFmtId="0" fontId="10" fillId="0" borderId="3" xfId="1" applyFont="1" applyBorder="1" applyProtection="1">
      <protection locked="0"/>
    </xf>
    <xf numFmtId="0" fontId="16" fillId="0" borderId="0" xfId="1" applyFont="1" applyBorder="1" applyAlignment="1" applyProtection="1">
      <alignment horizontal="center" vertical="center"/>
      <protection locked="0"/>
    </xf>
    <xf numFmtId="0" fontId="16" fillId="0" borderId="22" xfId="1" applyFont="1" applyBorder="1" applyAlignment="1" applyProtection="1">
      <alignment horizontal="center" vertical="center"/>
      <protection locked="0"/>
    </xf>
    <xf numFmtId="0" fontId="9" fillId="0" borderId="23" xfId="1" applyFont="1" applyBorder="1" applyAlignment="1" applyProtection="1">
      <alignment horizontal="center" vertical="center"/>
    </xf>
    <xf numFmtId="0" fontId="9" fillId="0" borderId="24" xfId="1" applyFont="1" applyBorder="1" applyAlignment="1" applyProtection="1">
      <alignment horizontal="center" vertical="center"/>
    </xf>
    <xf numFmtId="0" fontId="9" fillId="0" borderId="24" xfId="1" applyFont="1" applyBorder="1" applyAlignment="1" applyProtection="1">
      <alignment horizontal="center" vertical="center" shrinkToFit="1"/>
    </xf>
    <xf numFmtId="0" fontId="9" fillId="0" borderId="25" xfId="1" applyFont="1" applyBorder="1" applyAlignment="1" applyProtection="1">
      <alignment horizontal="center" vertical="center"/>
    </xf>
    <xf numFmtId="0" fontId="9" fillId="0" borderId="16" xfId="1" applyFont="1" applyBorder="1" applyAlignment="1" applyProtection="1">
      <alignment horizontal="center" vertical="center"/>
    </xf>
    <xf numFmtId="0" fontId="9" fillId="0" borderId="26" xfId="1" applyFont="1" applyBorder="1" applyAlignment="1" applyProtection="1">
      <alignment horizontal="center" vertical="center"/>
    </xf>
    <xf numFmtId="0" fontId="9" fillId="0" borderId="1" xfId="1" applyFont="1" applyBorder="1" applyAlignment="1" applyProtection="1">
      <alignment horizontal="center" vertical="center"/>
    </xf>
    <xf numFmtId="0" fontId="9" fillId="0" borderId="1" xfId="1" applyFont="1" applyBorder="1" applyAlignment="1" applyProtection="1">
      <alignment horizontal="center" vertical="center" shrinkToFit="1"/>
    </xf>
    <xf numFmtId="0" fontId="9" fillId="0" borderId="2" xfId="1" applyFont="1" applyBorder="1" applyAlignment="1" applyProtection="1">
      <alignment horizontal="center" vertical="center"/>
    </xf>
    <xf numFmtId="0" fontId="9" fillId="0" borderId="27" xfId="1" applyFont="1" applyBorder="1" applyAlignment="1" applyProtection="1">
      <alignment horizontal="center" vertical="center"/>
    </xf>
    <xf numFmtId="0" fontId="9" fillId="2" borderId="28" xfId="1" applyFont="1" applyFill="1" applyBorder="1" applyAlignment="1" applyProtection="1">
      <alignment horizontal="center" vertical="center"/>
    </xf>
    <xf numFmtId="0" fontId="9" fillId="2" borderId="15"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9" fillId="0" borderId="0" xfId="1" applyFont="1" applyAlignment="1" applyProtection="1">
      <alignment vertical="center"/>
      <protection locked="0"/>
    </xf>
    <xf numFmtId="0" fontId="17" fillId="0" borderId="0" xfId="2" applyFont="1" applyAlignment="1" applyProtection="1">
      <alignment vertical="center"/>
      <protection locked="0"/>
    </xf>
    <xf numFmtId="49" fontId="9" fillId="0" borderId="29" xfId="1" applyNumberFormat="1" applyFont="1" applyBorder="1" applyAlignment="1" applyProtection="1">
      <alignment horizontal="left" vertical="center"/>
      <protection locked="0"/>
    </xf>
    <xf numFmtId="0" fontId="9" fillId="0" borderId="25" xfId="1" applyFont="1" applyBorder="1" applyAlignment="1" applyProtection="1">
      <alignment horizontal="left" vertical="center"/>
    </xf>
    <xf numFmtId="0" fontId="10" fillId="0" borderId="25" xfId="1" quotePrefix="1" applyFont="1" applyBorder="1" applyAlignment="1" applyProtection="1">
      <alignment horizontal="center" vertical="center"/>
    </xf>
    <xf numFmtId="3" fontId="18" fillId="0" borderId="1" xfId="1" applyNumberFormat="1" applyFont="1" applyBorder="1" applyAlignment="1" applyProtection="1">
      <alignment horizontal="right" vertical="center"/>
      <protection locked="0"/>
    </xf>
    <xf numFmtId="3" fontId="18" fillId="0" borderId="30" xfId="1" applyNumberFormat="1" applyFont="1" applyBorder="1" applyAlignment="1" applyProtection="1">
      <alignment horizontal="right" vertical="center"/>
      <protection locked="0"/>
    </xf>
    <xf numFmtId="3" fontId="18" fillId="0" borderId="31" xfId="1" applyNumberFormat="1" applyFont="1" applyBorder="1" applyAlignment="1" applyProtection="1">
      <alignment horizontal="right" vertical="center"/>
      <protection locked="0"/>
    </xf>
    <xf numFmtId="0" fontId="9" fillId="0" borderId="6" xfId="1" applyFont="1" applyBorder="1" applyAlignment="1" applyProtection="1">
      <alignment horizontal="left" vertical="center"/>
    </xf>
    <xf numFmtId="0" fontId="19" fillId="0" borderId="0" xfId="1" quotePrefix="1" applyFont="1" applyBorder="1" applyAlignment="1" applyProtection="1">
      <alignment horizontal="left" vertical="center"/>
    </xf>
    <xf numFmtId="0" fontId="9" fillId="0" borderId="19" xfId="1" applyFont="1" applyBorder="1" applyAlignment="1" applyProtection="1">
      <alignment horizontal="left" vertical="center"/>
    </xf>
    <xf numFmtId="0" fontId="10" fillId="0" borderId="32" xfId="1" applyFont="1" applyBorder="1" applyAlignment="1" applyProtection="1">
      <alignment vertical="center"/>
      <protection locked="0"/>
    </xf>
    <xf numFmtId="0" fontId="14" fillId="0" borderId="33" xfId="2" applyFont="1" applyBorder="1" applyAlignment="1" applyProtection="1">
      <alignment vertical="center"/>
      <protection locked="0"/>
    </xf>
    <xf numFmtId="0" fontId="10" fillId="0" borderId="33" xfId="1" applyFont="1" applyBorder="1" applyAlignment="1" applyProtection="1">
      <alignment vertical="center"/>
      <protection locked="0"/>
    </xf>
    <xf numFmtId="0" fontId="10" fillId="0" borderId="0" xfId="1" applyFont="1" applyAlignment="1" applyProtection="1">
      <alignment vertical="center"/>
      <protection locked="0"/>
    </xf>
    <xf numFmtId="0" fontId="9" fillId="2" borderId="21" xfId="1" applyFont="1" applyFill="1" applyBorder="1" applyAlignment="1" applyProtection="1">
      <alignment horizontal="center" vertical="center"/>
    </xf>
    <xf numFmtId="0" fontId="9" fillId="2" borderId="3" xfId="1" applyFont="1" applyFill="1" applyBorder="1" applyAlignment="1" applyProtection="1">
      <alignment horizontal="center" vertical="center"/>
    </xf>
    <xf numFmtId="0" fontId="9" fillId="2" borderId="30" xfId="1" applyFont="1" applyFill="1" applyBorder="1" applyAlignment="1" applyProtection="1">
      <alignment horizontal="center" vertical="center"/>
    </xf>
    <xf numFmtId="0" fontId="9" fillId="0" borderId="13" xfId="1" applyFont="1" applyBorder="1" applyAlignment="1" applyProtection="1">
      <alignment vertical="center"/>
      <protection locked="0"/>
    </xf>
    <xf numFmtId="49" fontId="9" fillId="0" borderId="13" xfId="1" applyNumberFormat="1" applyFont="1" applyBorder="1" applyAlignment="1" applyProtection="1">
      <alignment horizontal="center" vertical="center"/>
    </xf>
    <xf numFmtId="49" fontId="9" fillId="0" borderId="0" xfId="1" applyNumberFormat="1" applyFont="1" applyBorder="1" applyAlignment="1" applyProtection="1">
      <alignment horizontal="center" vertical="center"/>
    </xf>
    <xf numFmtId="49" fontId="9" fillId="0" borderId="6" xfId="1" applyNumberFormat="1" applyFont="1" applyBorder="1" applyAlignment="1" applyProtection="1">
      <alignment horizontal="center" vertical="center"/>
    </xf>
    <xf numFmtId="0" fontId="20" fillId="0" borderId="4" xfId="1" applyNumberFormat="1" applyFont="1" applyBorder="1" applyAlignment="1" applyProtection="1">
      <alignment horizontal="center" vertical="center"/>
      <protection locked="0"/>
    </xf>
    <xf numFmtId="0" fontId="20" fillId="0" borderId="3" xfId="1" applyNumberFormat="1" applyFont="1" applyBorder="1" applyAlignment="1" applyProtection="1">
      <alignment horizontal="center" vertical="center"/>
      <protection locked="0"/>
    </xf>
    <xf numFmtId="0" fontId="20" fillId="0" borderId="21" xfId="1" applyNumberFormat="1" applyFont="1" applyBorder="1" applyAlignment="1" applyProtection="1">
      <alignment horizontal="center" vertical="center"/>
      <protection locked="0"/>
    </xf>
    <xf numFmtId="0" fontId="20" fillId="0" borderId="30" xfId="1" applyNumberFormat="1" applyFont="1" applyBorder="1" applyAlignment="1" applyProtection="1">
      <alignment horizontal="center" vertical="center"/>
      <protection locked="0"/>
    </xf>
    <xf numFmtId="0" fontId="20" fillId="0" borderId="14" xfId="1" applyNumberFormat="1" applyFont="1" applyBorder="1" applyAlignment="1" applyProtection="1">
      <alignment horizontal="center" vertical="center"/>
      <protection locked="0"/>
    </xf>
    <xf numFmtId="0" fontId="20" fillId="0" borderId="15" xfId="1" applyNumberFormat="1" applyFont="1" applyBorder="1" applyAlignment="1" applyProtection="1">
      <alignment horizontal="center" vertical="center"/>
      <protection locked="0"/>
    </xf>
    <xf numFmtId="0" fontId="20" fillId="0" borderId="28" xfId="1" applyNumberFormat="1" applyFont="1" applyBorder="1" applyAlignment="1" applyProtection="1">
      <alignment horizontal="center" vertical="center"/>
      <protection locked="0"/>
    </xf>
    <xf numFmtId="0" fontId="20" fillId="0" borderId="19" xfId="1" applyNumberFormat="1" applyFont="1" applyBorder="1" applyAlignment="1" applyProtection="1">
      <alignment horizontal="center" vertical="center"/>
      <protection locked="0"/>
    </xf>
    <xf numFmtId="0" fontId="20" fillId="0" borderId="16" xfId="1" applyNumberFormat="1" applyFont="1" applyBorder="1" applyAlignment="1" applyProtection="1">
      <alignment horizontal="center" vertical="center"/>
      <protection locked="0"/>
    </xf>
    <xf numFmtId="49" fontId="9" fillId="0" borderId="21" xfId="1" applyNumberFormat="1" applyFont="1" applyBorder="1" applyAlignment="1" applyProtection="1">
      <alignment horizontal="center" vertical="center"/>
    </xf>
    <xf numFmtId="49" fontId="9" fillId="0" borderId="3" xfId="1" applyNumberFormat="1" applyFont="1" applyBorder="1" applyAlignment="1" applyProtection="1">
      <alignment horizontal="center" vertical="center"/>
    </xf>
    <xf numFmtId="49" fontId="9" fillId="0" borderId="34" xfId="1" applyNumberFormat="1" applyFont="1" applyBorder="1" applyAlignment="1" applyProtection="1">
      <alignment horizontal="center" vertical="center"/>
    </xf>
    <xf numFmtId="0" fontId="20" fillId="0" borderId="1" xfId="1" applyNumberFormat="1" applyFont="1" applyBorder="1" applyAlignment="1" applyProtection="1">
      <alignment horizontal="center" vertical="center"/>
      <protection locked="0"/>
    </xf>
    <xf numFmtId="0" fontId="20" fillId="0" borderId="4" xfId="1" applyNumberFormat="1" applyFont="1" applyBorder="1" applyAlignment="1" applyProtection="1">
      <alignment horizontal="center" vertical="center"/>
      <protection locked="0"/>
    </xf>
    <xf numFmtId="0" fontId="20" fillId="0" borderId="25" xfId="1" applyNumberFormat="1" applyFont="1" applyBorder="1" applyAlignment="1" applyProtection="1">
      <alignment horizontal="center" vertical="center"/>
      <protection locked="0"/>
    </xf>
    <xf numFmtId="0" fontId="20" fillId="0" borderId="29" xfId="1" applyNumberFormat="1" applyFont="1" applyBorder="1" applyAlignment="1" applyProtection="1">
      <alignment horizontal="center" vertical="center"/>
      <protection locked="0"/>
    </xf>
    <xf numFmtId="0" fontId="20" fillId="0" borderId="31" xfId="1" applyNumberFormat="1" applyFont="1" applyBorder="1" applyAlignment="1" applyProtection="1">
      <alignment horizontal="center" vertical="center"/>
      <protection locked="0"/>
    </xf>
    <xf numFmtId="3" fontId="18" fillId="0" borderId="4" xfId="1" applyNumberFormat="1" applyFont="1" applyBorder="1" applyAlignment="1" applyProtection="1">
      <alignment horizontal="right" vertical="center"/>
      <protection locked="0"/>
    </xf>
    <xf numFmtId="3" fontId="18" fillId="0" borderId="26" xfId="1" applyNumberFormat="1" applyFont="1" applyBorder="1" applyAlignment="1" applyProtection="1">
      <alignment horizontal="right" vertical="center"/>
      <protection locked="0"/>
    </xf>
    <xf numFmtId="3" fontId="18" fillId="0" borderId="20" xfId="1" applyNumberFormat="1" applyFont="1" applyBorder="1" applyAlignment="1" applyProtection="1">
      <alignment horizontal="right" vertical="center"/>
      <protection locked="0"/>
    </xf>
    <xf numFmtId="0" fontId="10" fillId="0" borderId="0" xfId="1" applyFont="1" applyBorder="1" applyAlignment="1" applyProtection="1">
      <alignment vertical="center"/>
      <protection locked="0"/>
    </xf>
    <xf numFmtId="3" fontId="18" fillId="0" borderId="1" xfId="1" quotePrefix="1" applyNumberFormat="1" applyFont="1" applyBorder="1" applyAlignment="1" applyProtection="1">
      <alignment horizontal="right" vertical="center"/>
      <protection locked="0"/>
    </xf>
    <xf numFmtId="3" fontId="18" fillId="0" borderId="26" xfId="1" quotePrefix="1" applyNumberFormat="1" applyFont="1" applyBorder="1" applyAlignment="1" applyProtection="1">
      <alignment horizontal="right" vertical="center"/>
      <protection locked="0"/>
    </xf>
    <xf numFmtId="0" fontId="10" fillId="0" borderId="13" xfId="1" applyFont="1" applyBorder="1" applyAlignment="1" applyProtection="1">
      <alignment vertical="center"/>
      <protection locked="0"/>
    </xf>
    <xf numFmtId="49" fontId="9" fillId="0" borderId="35" xfId="1" applyNumberFormat="1" applyFont="1" applyBorder="1" applyAlignment="1" applyProtection="1">
      <alignment horizontal="left" vertical="center"/>
      <protection locked="0"/>
    </xf>
    <xf numFmtId="0" fontId="9" fillId="0" borderId="36" xfId="1" applyFont="1" applyBorder="1" applyAlignment="1" applyProtection="1">
      <alignment horizontal="left" vertical="center"/>
    </xf>
    <xf numFmtId="0" fontId="10" fillId="0" borderId="36" xfId="1" quotePrefix="1" applyFont="1" applyBorder="1" applyAlignment="1" applyProtection="1">
      <alignment horizontal="center" vertical="center"/>
    </xf>
    <xf numFmtId="3" fontId="18" fillId="0" borderId="36" xfId="1" applyNumberFormat="1" applyFont="1" applyBorder="1" applyAlignment="1" applyProtection="1">
      <alignment horizontal="right" vertical="center"/>
      <protection locked="0"/>
    </xf>
    <xf numFmtId="3" fontId="18" fillId="0" borderId="37" xfId="1" applyNumberFormat="1" applyFont="1" applyBorder="1" applyAlignment="1" applyProtection="1">
      <alignment horizontal="right" vertical="center"/>
      <protection locked="0"/>
    </xf>
    <xf numFmtId="3" fontId="18" fillId="0" borderId="35" xfId="1" applyNumberFormat="1" applyFont="1" applyBorder="1" applyAlignment="1" applyProtection="1">
      <alignment horizontal="right" vertical="center"/>
      <protection locked="0"/>
    </xf>
    <xf numFmtId="3" fontId="18" fillId="0" borderId="38" xfId="1" applyNumberFormat="1" applyFont="1" applyBorder="1" applyAlignment="1" applyProtection="1">
      <alignment horizontal="right" vertical="center"/>
      <protection locked="0"/>
    </xf>
    <xf numFmtId="0" fontId="10" fillId="0" borderId="0" xfId="1" applyFont="1" applyBorder="1" applyAlignment="1" applyProtection="1">
      <alignment vertical="center"/>
    </xf>
    <xf numFmtId="0" fontId="10" fillId="0" borderId="0" xfId="1" applyFont="1" applyFill="1" applyBorder="1" applyAlignment="1" applyProtection="1">
      <alignment vertical="center"/>
    </xf>
    <xf numFmtId="3" fontId="10" fillId="0" borderId="0" xfId="1" applyNumberFormat="1" applyFont="1" applyBorder="1" applyAlignment="1" applyProtection="1">
      <alignment vertical="center"/>
      <protection locked="0"/>
    </xf>
    <xf numFmtId="3" fontId="10" fillId="0" borderId="0" xfId="1" applyNumberFormat="1" applyFont="1" applyBorder="1" applyAlignment="1" applyProtection="1">
      <alignment horizontal="right" vertical="center"/>
      <protection locked="0"/>
    </xf>
    <xf numFmtId="0" fontId="10" fillId="0" borderId="0" xfId="1" applyFont="1" applyAlignment="1" applyProtection="1">
      <protection locked="0"/>
    </xf>
    <xf numFmtId="0" fontId="10" fillId="0" borderId="0" xfId="1" applyFont="1" applyAlignment="1" applyProtection="1">
      <alignment horizontal="left"/>
      <protection locked="0"/>
    </xf>
    <xf numFmtId="0" fontId="9" fillId="0" borderId="0" xfId="1" applyFont="1" applyAlignment="1" applyProtection="1">
      <alignment horizontal="center"/>
      <protection locked="0"/>
    </xf>
  </cellXfs>
  <cellStyles count="3">
    <cellStyle name="Normal" xfId="0" builtinId="0"/>
    <cellStyle name="Normal 2" xfId="1" xr:uid="{B06D4EF3-0ADF-48B9-95E4-DA7B4CC3F1C7}"/>
    <cellStyle name="Normal_JFSQ2001e" xfId="2" xr:uid="{0089024E-7071-4C68-806A-2FC16066E5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328081</xdr:colOff>
      <xdr:row>1</xdr:row>
      <xdr:rowOff>31749</xdr:rowOff>
    </xdr:from>
    <xdr:to>
      <xdr:col>1</xdr:col>
      <xdr:colOff>4382490</xdr:colOff>
      <xdr:row>4</xdr:row>
      <xdr:rowOff>52916</xdr:rowOff>
    </xdr:to>
    <xdr:pic>
      <xdr:nvPicPr>
        <xdr:cNvPr id="2" name="Picture 1">
          <a:extLst>
            <a:ext uri="{FF2B5EF4-FFF2-40B4-BE49-F238E27FC236}">
              <a16:creationId xmlns:a16="http://schemas.microsoft.com/office/drawing/2014/main" id="{1BDC0EF0-53DA-47D1-A90A-2E4B369376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8081" y="241299"/>
          <a:ext cx="4692584" cy="649817"/>
        </a:xfrm>
        <a:prstGeom prst="rect">
          <a:avLst/>
        </a:prstGeom>
      </xdr:spPr>
    </xdr:pic>
    <xdr:clientData/>
  </xdr:twoCellAnchor>
  <xdr:twoCellAnchor>
    <xdr:from>
      <xdr:col>1</xdr:col>
      <xdr:colOff>31750</xdr:colOff>
      <xdr:row>26</xdr:row>
      <xdr:rowOff>137584</xdr:rowOff>
    </xdr:from>
    <xdr:to>
      <xdr:col>5</xdr:col>
      <xdr:colOff>592667</xdr:colOff>
      <xdr:row>62</xdr:row>
      <xdr:rowOff>95250</xdr:rowOff>
    </xdr:to>
    <xdr:sp macro="" textlink="">
      <xdr:nvSpPr>
        <xdr:cNvPr id="3" name="TextBox 2">
          <a:extLst>
            <a:ext uri="{FF2B5EF4-FFF2-40B4-BE49-F238E27FC236}">
              <a16:creationId xmlns:a16="http://schemas.microsoft.com/office/drawing/2014/main" id="{BBA8679B-8FF5-4445-8AE0-BA0513141390}"/>
            </a:ext>
          </a:extLst>
        </xdr:cNvPr>
        <xdr:cNvSpPr txBox="1"/>
      </xdr:nvSpPr>
      <xdr:spPr>
        <a:xfrm>
          <a:off x="669925" y="6071659"/>
          <a:ext cx="9190567" cy="5786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a:latin typeface="Arial" panose="020B0604020202020204" pitchFamily="34" charset="0"/>
              <a:cs typeface="Arial" panose="020B0604020202020204" pitchFamily="34" charset="0"/>
            </a:rPr>
            <a:t>Definitions</a:t>
          </a:r>
        </a:p>
        <a:p>
          <a:endParaRPr lang="en-GB" sz="1100">
            <a:latin typeface="Arial" panose="020B0604020202020204" pitchFamily="34" charset="0"/>
            <a:cs typeface="Arial" panose="020B0604020202020204" pitchFamily="34" charset="0"/>
          </a:endParaRPr>
        </a:p>
        <a:p>
          <a:r>
            <a:rPr lang="en-GB" sz="1100" u="sng">
              <a:latin typeface="Arial" panose="020B0604020202020204" pitchFamily="34" charset="0"/>
              <a:cs typeface="Arial" panose="020B0604020202020204" pitchFamily="34" charset="0"/>
            </a:rPr>
            <a:t>Glulam:</a:t>
          </a:r>
        </a:p>
        <a:p>
          <a:r>
            <a:rPr lang="en-US" sz="1100">
              <a:solidFill>
                <a:schemeClr val="dk1"/>
              </a:solidFill>
              <a:effectLst/>
              <a:latin typeface="Arial" panose="020B0604020202020204" pitchFamily="34" charset="0"/>
              <a:ea typeface="+mn-ea"/>
              <a:cs typeface="Arial" panose="020B0604020202020204" pitchFamily="34" charset="0"/>
            </a:rPr>
            <a:t>Glulam is a wooden beam composed of wood laminations, or "lams" made from solid wood boards (sawn, profile-chipped or sliced, each board with a thickness at least 6 mm), that are glued together. Total beam thickness can range from 9 cm and typically up to 30 cm. The grain of the laminations runs parallel with the length of the member. It can be produced in curved shapes. It is generally used to provide structural support to a building in both commercial and residential applications.</a:t>
          </a:r>
        </a:p>
        <a:p>
          <a:r>
            <a:rPr lang="en-US" sz="1100">
              <a:solidFill>
                <a:schemeClr val="accent6">
                  <a:lumMod val="75000"/>
                </a:schemeClr>
              </a:solidFill>
              <a:effectLst/>
              <a:latin typeface="Arial" panose="020B0604020202020204" pitchFamily="34" charset="0"/>
              <a:ea typeface="+mn-ea"/>
              <a:cs typeface="Arial" panose="020B0604020202020204" pitchFamily="34" charset="0"/>
            </a:rPr>
            <a:t>trade classification:</a:t>
          </a:r>
          <a:r>
            <a:rPr lang="en-US" sz="1100" baseline="0">
              <a:solidFill>
                <a:schemeClr val="accent6">
                  <a:lumMod val="75000"/>
                </a:schemeClr>
              </a:solidFill>
              <a:effectLst/>
              <a:latin typeface="Arial" panose="020B0604020202020204" pitchFamily="34" charset="0"/>
              <a:ea typeface="+mn-ea"/>
              <a:cs typeface="Arial" panose="020B0604020202020204" pitchFamily="34" charset="0"/>
            </a:rPr>
            <a:t> </a:t>
          </a:r>
          <a:r>
            <a:rPr lang="en-US" sz="1100">
              <a:solidFill>
                <a:schemeClr val="accent6">
                  <a:lumMod val="75000"/>
                </a:schemeClr>
              </a:solidFill>
              <a:effectLst/>
              <a:latin typeface="Arial" panose="020B0604020202020204" pitchFamily="34" charset="0"/>
              <a:ea typeface="+mn-ea"/>
              <a:cs typeface="Arial" panose="020B0604020202020204" pitchFamily="34" charset="0"/>
            </a:rPr>
            <a:t>part of HS2017</a:t>
          </a:r>
          <a:r>
            <a:rPr lang="en-US" sz="1100" baseline="0">
              <a:solidFill>
                <a:schemeClr val="accent6">
                  <a:lumMod val="75000"/>
                </a:schemeClr>
              </a:solidFill>
              <a:effectLst/>
              <a:latin typeface="Arial" panose="020B0604020202020204" pitchFamily="34" charset="0"/>
              <a:ea typeface="+mn-ea"/>
              <a:cs typeface="Arial" panose="020B0604020202020204" pitchFamily="34" charset="0"/>
            </a:rPr>
            <a:t> code 441899</a:t>
          </a:r>
          <a:endParaRPr lang="en-US" sz="1100">
            <a:solidFill>
              <a:schemeClr val="accent6">
                <a:lumMod val="75000"/>
              </a:schemeClr>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u="sng">
              <a:solidFill>
                <a:schemeClr val="dk1"/>
              </a:solidFill>
              <a:effectLst/>
              <a:latin typeface="Arial" panose="020B0604020202020204" pitchFamily="34" charset="0"/>
              <a:ea typeface="+mn-ea"/>
              <a:cs typeface="Arial" panose="020B0604020202020204" pitchFamily="34" charset="0"/>
            </a:rPr>
            <a:t>Cross-laminated</a:t>
          </a:r>
          <a:r>
            <a:rPr lang="en-US" sz="1100" u="sng" baseline="0">
              <a:solidFill>
                <a:schemeClr val="dk1"/>
              </a:solidFill>
              <a:effectLst/>
              <a:latin typeface="Arial" panose="020B0604020202020204" pitchFamily="34" charset="0"/>
              <a:ea typeface="+mn-ea"/>
              <a:cs typeface="Arial" panose="020B0604020202020204" pitchFamily="34" charset="0"/>
            </a:rPr>
            <a:t> timber:</a:t>
          </a:r>
        </a:p>
        <a:p>
          <a:r>
            <a:rPr lang="en-US" sz="1100">
              <a:solidFill>
                <a:schemeClr val="dk1"/>
              </a:solidFill>
              <a:effectLst/>
              <a:latin typeface="Arial" panose="020B0604020202020204" pitchFamily="34" charset="0"/>
              <a:ea typeface="+mn-ea"/>
              <a:cs typeface="Arial" panose="020B0604020202020204" pitchFamily="34" charset="0"/>
            </a:rPr>
            <a:t>Cross-laminated timber (CLT, also referred to as X-lam, thick timber or cross-ply timber) is large structural building panels made from solid wood boards (sawn, profile-chipped or sliced, each board with a thickness at least 6 mm) glued together in layers. It consists of at least three layers of solid wood which are normally glued at right angles to one another, whereby individual layers can be arranged longitudinally along their narrow sides or at systematic lateral spacing to each other. The planed boards are placed into a press, pressure is applied, and after curing, panels are removed from the press and trimmed to exact sizes and edge profiles.</a:t>
          </a:r>
        </a:p>
        <a:p>
          <a:r>
            <a:rPr lang="en-GB" sz="1100">
              <a:solidFill>
                <a:schemeClr val="dk1"/>
              </a:solidFill>
              <a:effectLst/>
              <a:latin typeface="Arial" panose="020B0604020202020204" pitchFamily="34" charset="0"/>
              <a:ea typeface="+mn-ea"/>
              <a:cs typeface="Arial" panose="020B0604020202020204" pitchFamily="34" charset="0"/>
            </a:rPr>
            <a:t>CLT is distinct from plywood as it relies on pieces of solid lumber rather than sheets of veneer (which have a thickness below 6 mm and usually less than 5mm).  It provides structural support in load-bearing applications and is capable of bearing loads in and out of the plane of the wood</a:t>
          </a:r>
          <a:r>
            <a:rPr lang="en-US" sz="1100">
              <a:solidFill>
                <a:schemeClr val="dk1"/>
              </a:solidFill>
              <a:effectLst/>
              <a:latin typeface="Arial" panose="020B0604020202020204" pitchFamily="34" charset="0"/>
              <a:ea typeface="+mn-ea"/>
              <a:cs typeface="Arial" panose="020B0604020202020204" pitchFamily="34" charset="0"/>
            </a:rPr>
            <a:t>.</a:t>
          </a:r>
        </a:p>
        <a:p>
          <a:r>
            <a:rPr lang="en-US" sz="1100">
              <a:solidFill>
                <a:schemeClr val="accent6">
                  <a:lumMod val="75000"/>
                </a:schemeClr>
              </a:solidFill>
              <a:effectLst/>
              <a:latin typeface="Arial" panose="020B0604020202020204" pitchFamily="34" charset="0"/>
              <a:ea typeface="+mn-ea"/>
              <a:cs typeface="Arial" panose="020B0604020202020204" pitchFamily="34" charset="0"/>
            </a:rPr>
            <a:t>trade</a:t>
          </a:r>
          <a:r>
            <a:rPr lang="en-US" sz="1100" baseline="0">
              <a:solidFill>
                <a:schemeClr val="accent6">
                  <a:lumMod val="75000"/>
                </a:schemeClr>
              </a:solidFill>
              <a:effectLst/>
              <a:latin typeface="Arial" panose="020B0604020202020204" pitchFamily="34" charset="0"/>
              <a:ea typeface="+mn-ea"/>
              <a:cs typeface="Arial" panose="020B0604020202020204" pitchFamily="34" charset="0"/>
            </a:rPr>
            <a:t> classification: part of </a:t>
          </a:r>
          <a:r>
            <a:rPr lang="en-US" sz="1100">
              <a:solidFill>
                <a:schemeClr val="accent6">
                  <a:lumMod val="75000"/>
                </a:schemeClr>
              </a:solidFill>
              <a:effectLst/>
              <a:latin typeface="Arial" panose="020B0604020202020204" pitchFamily="34" charset="0"/>
              <a:ea typeface="+mn-ea"/>
              <a:cs typeface="Arial" panose="020B0604020202020204" pitchFamily="34" charset="0"/>
            </a:rPr>
            <a:t>HS2017 code</a:t>
          </a:r>
          <a:r>
            <a:rPr lang="en-US" sz="1100" baseline="0">
              <a:solidFill>
                <a:schemeClr val="accent6">
                  <a:lumMod val="75000"/>
                </a:schemeClr>
              </a:solidFill>
              <a:effectLst/>
              <a:latin typeface="Arial" panose="020B0604020202020204" pitchFamily="34" charset="0"/>
              <a:ea typeface="+mn-ea"/>
              <a:cs typeface="Arial" panose="020B0604020202020204" pitchFamily="34" charset="0"/>
            </a:rPr>
            <a:t> 441899, also 442199</a:t>
          </a:r>
          <a:endParaRPr lang="en-US" sz="1100">
            <a:solidFill>
              <a:schemeClr val="accent6">
                <a:lumMod val="75000"/>
              </a:schemeClr>
            </a:solidFill>
            <a:effectLst/>
            <a:latin typeface="Arial" panose="020B0604020202020204" pitchFamily="34" charset="0"/>
            <a:ea typeface="+mn-ea"/>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u="sng">
              <a:solidFill>
                <a:schemeClr val="dk1"/>
              </a:solidFill>
              <a:effectLst/>
              <a:latin typeface="Arial" panose="020B0604020202020204" pitchFamily="34" charset="0"/>
              <a:ea typeface="+mn-ea"/>
              <a:cs typeface="Arial" panose="020B0604020202020204" pitchFamily="34" charset="0"/>
            </a:rPr>
            <a:t>I-Beams/I-Joists:</a:t>
          </a:r>
        </a:p>
        <a:p>
          <a:r>
            <a:rPr lang="en-US" sz="1100">
              <a:solidFill>
                <a:schemeClr val="dk1"/>
              </a:solidFill>
              <a:effectLst/>
              <a:latin typeface="Arial" panose="020B0604020202020204" pitchFamily="34" charset="0"/>
              <a:ea typeface="+mn-ea"/>
              <a:cs typeface="Arial" panose="020B0604020202020204" pitchFamily="34" charset="0"/>
            </a:rPr>
            <a:t>Beams are "I" shaped engineered wood structural members (also called I-joists) and are comprised of top and bottom flanges, united with webs. The flange material is typically laminated veneer lumber (LVL) or solid sawn lumber, and the web is made with plywood or OSB.</a:t>
          </a:r>
        </a:p>
        <a:p>
          <a:r>
            <a:rPr lang="fr-CH" sz="1100">
              <a:solidFill>
                <a:schemeClr val="accent6">
                  <a:lumMod val="75000"/>
                </a:schemeClr>
              </a:solidFill>
              <a:effectLst/>
              <a:latin typeface="Arial" panose="020B0604020202020204" pitchFamily="34" charset="0"/>
              <a:ea typeface="+mn-ea"/>
              <a:cs typeface="Arial" panose="020B0604020202020204" pitchFamily="34" charset="0"/>
            </a:rPr>
            <a:t>trade classification:</a:t>
          </a:r>
          <a:r>
            <a:rPr lang="fr-CH" sz="1100" baseline="0">
              <a:solidFill>
                <a:schemeClr val="accent6">
                  <a:lumMod val="75000"/>
                </a:schemeClr>
              </a:solidFill>
              <a:effectLst/>
              <a:latin typeface="Arial" panose="020B0604020202020204" pitchFamily="34" charset="0"/>
              <a:ea typeface="+mn-ea"/>
              <a:cs typeface="Arial" panose="020B0604020202020204" pitchFamily="34" charset="0"/>
            </a:rPr>
            <a:t> part of </a:t>
          </a:r>
          <a:r>
            <a:rPr lang="fr-CH" sz="1100">
              <a:solidFill>
                <a:schemeClr val="accent6">
                  <a:lumMod val="75000"/>
                </a:schemeClr>
              </a:solidFill>
              <a:effectLst/>
              <a:latin typeface="Arial" panose="020B0604020202020204" pitchFamily="34" charset="0"/>
              <a:ea typeface="+mn-ea"/>
              <a:cs typeface="Arial" panose="020B0604020202020204" pitchFamily="34" charset="0"/>
            </a:rPr>
            <a:t>HS2017 code</a:t>
          </a:r>
          <a:r>
            <a:rPr lang="fr-CH" sz="1100" baseline="0">
              <a:solidFill>
                <a:schemeClr val="accent6">
                  <a:lumMod val="75000"/>
                </a:schemeClr>
              </a:solidFill>
              <a:effectLst/>
              <a:latin typeface="Arial" panose="020B0604020202020204" pitchFamily="34" charset="0"/>
              <a:ea typeface="+mn-ea"/>
              <a:cs typeface="Arial" panose="020B0604020202020204" pitchFamily="34" charset="0"/>
            </a:rPr>
            <a:t> 441860</a:t>
          </a:r>
          <a:endParaRPr lang="en-GB" sz="1100">
            <a:solidFill>
              <a:schemeClr val="accent6">
                <a:lumMod val="75000"/>
              </a:schemeClr>
            </a:solidFill>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100" b="0" u="sng">
              <a:latin typeface="Arial" panose="020B0604020202020204" pitchFamily="34" charset="0"/>
              <a:cs typeface="Arial" panose="020B0604020202020204" pitchFamily="34" charset="0"/>
            </a:rPr>
            <a:t>Laminated</a:t>
          </a:r>
          <a:r>
            <a:rPr lang="en-GB" sz="1100" b="0" u="sng" baseline="0">
              <a:latin typeface="Arial" panose="020B0604020202020204" pitchFamily="34" charset="0"/>
              <a:cs typeface="Arial" panose="020B0604020202020204" pitchFamily="34" charset="0"/>
            </a:rPr>
            <a:t> veneer lumber: </a:t>
          </a:r>
        </a:p>
        <a:p>
          <a:r>
            <a:rPr lang="en-US" sz="1100" b="0">
              <a:solidFill>
                <a:schemeClr val="dk1"/>
              </a:solidFill>
              <a:effectLst/>
              <a:latin typeface="Arial" panose="020B0604020202020204" pitchFamily="34" charset="0"/>
              <a:ea typeface="+mn-ea"/>
              <a:cs typeface="Arial" panose="020B0604020202020204" pitchFamily="34" charset="0"/>
            </a:rPr>
            <a:t>Laminated veneer</a:t>
          </a:r>
          <a:r>
            <a:rPr lang="en-US" sz="1100" b="0" baseline="0">
              <a:solidFill>
                <a:schemeClr val="dk1"/>
              </a:solidFill>
              <a:effectLst/>
              <a:latin typeface="Arial" panose="020B0604020202020204" pitchFamily="34" charset="0"/>
              <a:ea typeface="+mn-ea"/>
              <a:cs typeface="Arial" panose="020B0604020202020204" pitchFamily="34" charset="0"/>
            </a:rPr>
            <a:t> lumber (</a:t>
          </a:r>
          <a:r>
            <a:rPr lang="en-US" sz="1100" b="0">
              <a:solidFill>
                <a:schemeClr val="dk1"/>
              </a:solidFill>
              <a:effectLst/>
              <a:latin typeface="Arial" panose="020B0604020202020204" pitchFamily="34" charset="0"/>
              <a:ea typeface="+mn-ea"/>
              <a:cs typeface="Arial" panose="020B0604020202020204" pitchFamily="34" charset="0"/>
            </a:rPr>
            <a:t>LVL) is an engineered lumber composite used to build structures and has a high strength to weight ratio. Logs are peeled into  thin (&lt;=3mm) veneers and bonded together under heat and pressure. Sheets are then re-glued into a continuous billet.</a:t>
          </a:r>
          <a:endParaRPr lang="en-GB" sz="1100" b="0">
            <a:solidFill>
              <a:schemeClr val="dk1"/>
            </a:solidFill>
            <a:effectLst/>
            <a:latin typeface="Arial" panose="020B0604020202020204" pitchFamily="34" charset="0"/>
            <a:ea typeface="+mn-ea"/>
            <a:cs typeface="Arial" panose="020B0604020202020204" pitchFamily="34" charset="0"/>
          </a:endParaRPr>
        </a:p>
        <a:p>
          <a:r>
            <a:rPr lang="en-GB" sz="1100" b="0">
              <a:solidFill>
                <a:schemeClr val="dk1"/>
              </a:solidFill>
              <a:effectLst/>
              <a:latin typeface="Arial" panose="020B0604020202020204" pitchFamily="34" charset="0"/>
              <a:ea typeface="+mn-ea"/>
              <a:cs typeface="Arial" panose="020B0604020202020204" pitchFamily="34" charset="0"/>
            </a:rPr>
            <a:t>LVL is a structural material. It is composed of layers of wood veneer, the grain of each veneer running parallel to the longitudinal axis of the product. The veneers range in thickness from 1/10” to 3/16” [2.54mm </a:t>
          </a:r>
          <a:r>
            <a:rPr lang="en-GB" sz="1100" b="0" baseline="0">
              <a:solidFill>
                <a:schemeClr val="dk1"/>
              </a:solidFill>
              <a:effectLst/>
              <a:latin typeface="Arial" panose="020B0604020202020204" pitchFamily="34" charset="0"/>
              <a:ea typeface="+mn-ea"/>
              <a:cs typeface="Arial" panose="020B0604020202020204" pitchFamily="34" charset="0"/>
            </a:rPr>
            <a:t> </a:t>
          </a:r>
          <a:r>
            <a:rPr lang="en-GB" sz="1100" b="0">
              <a:solidFill>
                <a:schemeClr val="dk1"/>
              </a:solidFill>
              <a:effectLst/>
              <a:latin typeface="Arial" panose="020B0604020202020204" pitchFamily="34" charset="0"/>
              <a:ea typeface="+mn-ea"/>
              <a:cs typeface="Arial" panose="020B0604020202020204" pitchFamily="34" charset="0"/>
            </a:rPr>
            <a:t>– </a:t>
          </a:r>
          <a:r>
            <a:rPr lang="en-GB" sz="1100" b="0" baseline="0">
              <a:solidFill>
                <a:schemeClr val="dk1"/>
              </a:solidFill>
              <a:effectLst/>
              <a:latin typeface="Arial" panose="020B0604020202020204" pitchFamily="34" charset="0"/>
              <a:ea typeface="+mn-ea"/>
              <a:cs typeface="Arial" panose="020B0604020202020204" pitchFamily="34" charset="0"/>
            </a:rPr>
            <a:t> </a:t>
          </a:r>
          <a:r>
            <a:rPr lang="en-GB" sz="1100" b="0">
              <a:solidFill>
                <a:schemeClr val="dk1"/>
              </a:solidFill>
              <a:effectLst/>
              <a:latin typeface="Arial" panose="020B0604020202020204" pitchFamily="34" charset="0"/>
              <a:ea typeface="+mn-ea"/>
              <a:cs typeface="Arial" panose="020B0604020202020204" pitchFamily="34" charset="0"/>
            </a:rPr>
            <a:t>4.76mm]. The veneers are glued together under heat and pressure. A continuous press is used to produce long billets which can be cut into various sizes. Veneers used in the production of LVL are often scarf jointed, butted or lapped to provide continuous strength characteristics. LVL is available in lengths up to 80 feet [24 meters] and is generally manufactured in thicknesses of 3/4” to 2 1/2” [19mm – 64mm]. On the JFSQ it is included</a:t>
          </a:r>
          <a:r>
            <a:rPr lang="en-GB" sz="1100" b="0" baseline="0">
              <a:solidFill>
                <a:schemeClr val="dk1"/>
              </a:solidFill>
              <a:effectLst/>
              <a:latin typeface="Arial" panose="020B0604020202020204" pitchFamily="34" charset="0"/>
              <a:ea typeface="+mn-ea"/>
              <a:cs typeface="Arial" panose="020B0604020202020204" pitchFamily="34" charset="0"/>
            </a:rPr>
            <a:t> under item 8.1 (plywood).</a:t>
          </a:r>
        </a:p>
        <a:p>
          <a:r>
            <a:rPr lang="en-GB" sz="1100" b="0" baseline="0">
              <a:solidFill>
                <a:schemeClr val="accent6">
                  <a:lumMod val="75000"/>
                </a:schemeClr>
              </a:solidFill>
              <a:effectLst/>
              <a:latin typeface="Arial" panose="020B0604020202020204" pitchFamily="34" charset="0"/>
              <a:ea typeface="+mn-ea"/>
              <a:cs typeface="Arial" panose="020B0604020202020204" pitchFamily="34" charset="0"/>
            </a:rPr>
            <a:t>trade classification: part of HS2017 code 441299</a:t>
          </a:r>
          <a:endParaRPr lang="en-GB" sz="1100" b="0">
            <a:solidFill>
              <a:schemeClr val="accent6">
                <a:lumMod val="75000"/>
              </a:schemeClr>
            </a:solidFill>
            <a:effectLst/>
            <a:latin typeface="Arial" panose="020B0604020202020204" pitchFamily="34" charset="0"/>
            <a:ea typeface="+mn-ea"/>
            <a:cs typeface="Arial" panose="020B0604020202020204" pitchFamily="34" charset="0"/>
          </a:endParaRPr>
        </a:p>
        <a:p>
          <a:endParaRPr lang="en-GB" sz="1100">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44"/>
  <sheetViews>
    <sheetView tabSelected="1" workbookViewId="0"/>
  </sheetViews>
  <sheetFormatPr defaultRowHeight="14.25" x14ac:dyDescent="0.2"/>
  <cols>
    <col min="1" max="1" width="9.140625" style="1"/>
    <col min="2" max="2" width="21.28515625" style="1" customWidth="1"/>
    <col min="3" max="12" width="12.7109375" style="1" customWidth="1"/>
    <col min="13" max="16384" width="9.140625" style="1"/>
  </cols>
  <sheetData>
    <row r="1" spans="2:12" ht="15" x14ac:dyDescent="0.25">
      <c r="C1" s="13"/>
    </row>
    <row r="2" spans="2:12" x14ac:dyDescent="0.2">
      <c r="E2" s="22"/>
      <c r="F2" s="22"/>
      <c r="G2" s="22"/>
      <c r="H2" s="22"/>
      <c r="I2" s="22"/>
      <c r="J2" s="22"/>
      <c r="K2" s="22"/>
      <c r="L2" s="22"/>
    </row>
    <row r="4" spans="2:12" ht="15.75" x14ac:dyDescent="0.25">
      <c r="C4" s="30" t="s">
        <v>6</v>
      </c>
      <c r="D4" s="30"/>
      <c r="E4" s="30"/>
      <c r="F4" s="30"/>
      <c r="G4" s="30"/>
      <c r="H4" s="30"/>
      <c r="I4" s="30"/>
      <c r="J4" s="30"/>
      <c r="K4" s="30"/>
      <c r="L4" s="30"/>
    </row>
    <row r="5" spans="2:12" ht="15.75" x14ac:dyDescent="0.25">
      <c r="C5" s="7"/>
      <c r="D5" s="7"/>
      <c r="E5" s="7"/>
      <c r="F5" s="7"/>
      <c r="G5" s="7"/>
      <c r="H5" s="7"/>
      <c r="I5" s="7"/>
      <c r="J5" s="7"/>
      <c r="K5" s="7"/>
      <c r="L5" s="7"/>
    </row>
    <row r="6" spans="2:12" ht="15.75" x14ac:dyDescent="0.25">
      <c r="C6" s="30" t="s">
        <v>3</v>
      </c>
      <c r="D6" s="30"/>
      <c r="E6" s="30"/>
      <c r="F6" s="30"/>
      <c r="G6" s="30"/>
      <c r="H6" s="30"/>
      <c r="I6" s="30"/>
      <c r="J6" s="30"/>
      <c r="K6" s="30"/>
      <c r="L6" s="30"/>
    </row>
    <row r="8" spans="2:12" x14ac:dyDescent="0.2">
      <c r="C8" s="28" t="s">
        <v>0</v>
      </c>
      <c r="D8" s="31"/>
      <c r="E8" s="28" t="s">
        <v>4</v>
      </c>
      <c r="F8" s="29"/>
      <c r="G8" s="29"/>
      <c r="H8" s="29"/>
      <c r="I8" s="28" t="s">
        <v>5</v>
      </c>
      <c r="J8" s="29"/>
      <c r="K8" s="29"/>
      <c r="L8" s="29"/>
    </row>
    <row r="9" spans="2:12" ht="15" x14ac:dyDescent="0.25">
      <c r="B9"/>
      <c r="C9" s="3">
        <v>2016</v>
      </c>
      <c r="D9" s="3">
        <f>C9+1</f>
        <v>2017</v>
      </c>
      <c r="E9" s="28">
        <v>2016</v>
      </c>
      <c r="F9" s="31"/>
      <c r="G9" s="28">
        <v>2017</v>
      </c>
      <c r="H9" s="31"/>
      <c r="I9" s="28">
        <v>2016</v>
      </c>
      <c r="J9" s="31"/>
      <c r="K9" s="28">
        <v>2017</v>
      </c>
      <c r="L9" s="29"/>
    </row>
    <row r="10" spans="2:12" x14ac:dyDescent="0.2">
      <c r="B10" s="2" t="s">
        <v>1</v>
      </c>
      <c r="C10" s="4" t="s">
        <v>8</v>
      </c>
      <c r="D10" s="4" t="s">
        <v>8</v>
      </c>
      <c r="E10" s="5" t="s">
        <v>8</v>
      </c>
      <c r="F10" s="6" t="s">
        <v>9</v>
      </c>
      <c r="G10" s="5" t="s">
        <v>8</v>
      </c>
      <c r="H10" s="6" t="s">
        <v>9</v>
      </c>
      <c r="I10" s="5" t="s">
        <v>8</v>
      </c>
      <c r="J10" s="6" t="s">
        <v>9</v>
      </c>
      <c r="K10" s="5" t="s">
        <v>8</v>
      </c>
      <c r="L10" s="6" t="s">
        <v>9</v>
      </c>
    </row>
    <row r="11" spans="2:12" x14ac:dyDescent="0.2">
      <c r="B11" s="1" t="s">
        <v>2</v>
      </c>
      <c r="C11" s="14" t="s">
        <v>7</v>
      </c>
      <c r="D11" s="15" t="s">
        <v>7</v>
      </c>
      <c r="E11" s="8">
        <v>0</v>
      </c>
      <c r="F11" s="9">
        <v>0</v>
      </c>
      <c r="G11" s="8">
        <f>0.244619*1.69</f>
        <v>0.41340610999999999</v>
      </c>
      <c r="H11" s="9">
        <f>603863/1000</f>
        <v>603.86300000000006</v>
      </c>
      <c r="I11" s="8">
        <v>0</v>
      </c>
      <c r="J11" s="9">
        <v>0</v>
      </c>
      <c r="K11" s="8">
        <f>0.009419*1.69</f>
        <v>1.5918109999999999E-2</v>
      </c>
      <c r="L11" s="9">
        <f>78090/1000</f>
        <v>78.09</v>
      </c>
    </row>
    <row r="12" spans="2:12" x14ac:dyDescent="0.2">
      <c r="B12" s="1" t="s">
        <v>18</v>
      </c>
      <c r="C12" s="16">
        <v>0</v>
      </c>
      <c r="D12" s="17">
        <v>0</v>
      </c>
      <c r="E12" s="10">
        <f>5445/1000</f>
        <v>5.4450000000000003</v>
      </c>
      <c r="F12" s="11">
        <v>7338</v>
      </c>
      <c r="G12" s="10">
        <f>1448/1000</f>
        <v>1.448</v>
      </c>
      <c r="H12" s="11">
        <v>2758</v>
      </c>
      <c r="I12" s="10">
        <f>28/1000</f>
        <v>2.8000000000000001E-2</v>
      </c>
      <c r="J12" s="11">
        <v>9</v>
      </c>
      <c r="K12" s="10">
        <f>310/1000</f>
        <v>0.31</v>
      </c>
      <c r="L12" s="11">
        <v>91</v>
      </c>
    </row>
    <row r="13" spans="2:12" x14ac:dyDescent="0.2">
      <c r="B13" s="1" t="s">
        <v>20</v>
      </c>
      <c r="C13" s="16">
        <v>0</v>
      </c>
      <c r="D13" s="17">
        <v>0.38</v>
      </c>
      <c r="E13" s="10">
        <v>0.6</v>
      </c>
      <c r="F13" s="11">
        <v>1044.4100000000001</v>
      </c>
      <c r="G13" s="10">
        <v>0.95</v>
      </c>
      <c r="H13" s="11">
        <v>1610.59</v>
      </c>
      <c r="I13" s="10">
        <v>5.81</v>
      </c>
      <c r="J13" s="11">
        <v>5509.59</v>
      </c>
      <c r="K13" s="10">
        <v>9.99</v>
      </c>
      <c r="L13" s="11">
        <v>10382.950000000001</v>
      </c>
    </row>
    <row r="14" spans="2:12" x14ac:dyDescent="0.2">
      <c r="B14" s="1" t="s">
        <v>21</v>
      </c>
      <c r="C14" s="16" t="s">
        <v>7</v>
      </c>
      <c r="D14" s="17" t="s">
        <v>7</v>
      </c>
      <c r="E14" s="10">
        <v>1.147</v>
      </c>
      <c r="F14" s="11">
        <f>1613374/1000/1.7681</f>
        <v>912.49024376449302</v>
      </c>
      <c r="G14" s="10">
        <v>1.306</v>
      </c>
      <c r="H14" s="11">
        <f>1890695/1000/1.7354</f>
        <v>1089.4865737005878</v>
      </c>
      <c r="I14" s="10">
        <v>0.13400000000000001</v>
      </c>
      <c r="J14" s="11">
        <f>233944/1000/1.7681</f>
        <v>132.31378315706124</v>
      </c>
      <c r="K14" s="10">
        <v>0.49399999999999999</v>
      </c>
      <c r="L14" s="11">
        <f>528451/1.7354/1000</f>
        <v>304.51250432177017</v>
      </c>
    </row>
    <row r="15" spans="2:12" x14ac:dyDescent="0.2">
      <c r="B15" s="1" t="s">
        <v>22</v>
      </c>
      <c r="C15" s="16">
        <v>54.273956052254022</v>
      </c>
      <c r="D15" s="17">
        <v>47.902665559163331</v>
      </c>
      <c r="E15" s="16" t="s">
        <v>7</v>
      </c>
      <c r="F15" s="20" t="s">
        <v>7</v>
      </c>
      <c r="G15" s="16" t="s">
        <v>7</v>
      </c>
      <c r="H15" s="20" t="s">
        <v>7</v>
      </c>
      <c r="I15" s="16" t="s">
        <v>7</v>
      </c>
      <c r="J15" s="20" t="s">
        <v>7</v>
      </c>
      <c r="K15" s="16" t="s">
        <v>7</v>
      </c>
      <c r="L15" s="20" t="s">
        <v>7</v>
      </c>
    </row>
    <row r="16" spans="2:12" x14ac:dyDescent="0.2">
      <c r="B16" s="1" t="s">
        <v>52</v>
      </c>
      <c r="C16" s="16">
        <v>0</v>
      </c>
      <c r="D16" s="17">
        <v>0</v>
      </c>
      <c r="E16" s="16">
        <v>0.43099999999999999</v>
      </c>
      <c r="F16" s="20">
        <v>207.139848</v>
      </c>
      <c r="G16" s="16">
        <v>0.36699999999999999</v>
      </c>
      <c r="H16" s="20">
        <v>207.08428509999999</v>
      </c>
      <c r="I16" s="16">
        <v>0</v>
      </c>
      <c r="J16" s="20">
        <v>0</v>
      </c>
      <c r="K16" s="16">
        <v>0</v>
      </c>
      <c r="L16" s="20">
        <v>0</v>
      </c>
    </row>
    <row r="17" spans="2:12" x14ac:dyDescent="0.2">
      <c r="C17" s="16"/>
      <c r="D17" s="17"/>
      <c r="E17" s="16"/>
      <c r="F17" s="20"/>
      <c r="G17" s="16"/>
      <c r="H17" s="20"/>
      <c r="I17" s="16"/>
      <c r="J17" s="20"/>
      <c r="K17" s="16"/>
      <c r="L17" s="20"/>
    </row>
    <row r="18" spans="2:12" x14ac:dyDescent="0.2">
      <c r="B18" s="1" t="s">
        <v>24</v>
      </c>
      <c r="C18" s="16" t="s">
        <v>7</v>
      </c>
      <c r="D18" s="17" t="s">
        <v>7</v>
      </c>
      <c r="E18" s="10">
        <f>2.37050912*1.69</f>
        <v>4.0061604127999999</v>
      </c>
      <c r="F18" s="11">
        <f>16987.653/6.8118</f>
        <v>2493.8566898617105</v>
      </c>
      <c r="G18" s="10">
        <f>2.84805754*1.69</f>
        <v>4.8132172426000004</v>
      </c>
      <c r="H18" s="11">
        <f>20005.743/6.6227</f>
        <v>3020.7835172965706</v>
      </c>
      <c r="I18" s="10">
        <f>1.94719625*1.69</f>
        <v>3.2907616625</v>
      </c>
      <c r="J18" s="11">
        <f>20056.051/6.8118</f>
        <v>2944.3100208461788</v>
      </c>
      <c r="K18" s="10">
        <f>1.42567252*1.69</f>
        <v>2.4093865588000001</v>
      </c>
      <c r="L18" s="11">
        <f>18287.926/6.6227</f>
        <v>2761.4003352107147</v>
      </c>
    </row>
    <row r="19" spans="2:12" x14ac:dyDescent="0.2">
      <c r="B19" s="1" t="s">
        <v>25</v>
      </c>
      <c r="C19" s="16" t="s">
        <v>7</v>
      </c>
      <c r="D19" s="17" t="s">
        <v>7</v>
      </c>
      <c r="E19" s="16" t="s">
        <v>7</v>
      </c>
      <c r="F19" s="20" t="s">
        <v>7</v>
      </c>
      <c r="G19" s="16" t="s">
        <v>7</v>
      </c>
      <c r="H19" s="20" t="s">
        <v>7</v>
      </c>
      <c r="I19" s="16" t="s">
        <v>7</v>
      </c>
      <c r="J19" s="20" t="s">
        <v>7</v>
      </c>
      <c r="K19" s="16" t="s">
        <v>7</v>
      </c>
      <c r="L19" s="20" t="s">
        <v>7</v>
      </c>
    </row>
    <row r="20" spans="2:12" ht="16.5" x14ac:dyDescent="0.2">
      <c r="B20" s="1" t="s">
        <v>44</v>
      </c>
      <c r="C20" s="16">
        <v>133.5</v>
      </c>
      <c r="D20" s="17">
        <v>133.5</v>
      </c>
      <c r="E20" s="10">
        <f>102*1.85</f>
        <v>188.70000000000002</v>
      </c>
      <c r="F20" s="11">
        <f>100073/0.904</f>
        <v>110700.22123893804</v>
      </c>
      <c r="G20" s="10">
        <f>72*1.85</f>
        <v>133.20000000000002</v>
      </c>
      <c r="H20" s="11">
        <f>77543.984/0.8873</f>
        <v>87393.197340245693</v>
      </c>
      <c r="I20" s="10">
        <f>3.09*1.85</f>
        <v>5.7164999999999999</v>
      </c>
      <c r="J20" s="11">
        <f>10265/0.904</f>
        <v>11355.088495575221</v>
      </c>
      <c r="K20" s="10">
        <f>3.77*1.85</f>
        <v>6.9745000000000008</v>
      </c>
      <c r="L20" s="11">
        <f>7184/0.8873</f>
        <v>8096.4724444945341</v>
      </c>
    </row>
    <row r="21" spans="2:12" x14ac:dyDescent="0.2">
      <c r="B21" s="1" t="s">
        <v>27</v>
      </c>
      <c r="C21" s="16">
        <v>1130</v>
      </c>
      <c r="D21" s="17">
        <v>1200</v>
      </c>
      <c r="E21" s="10">
        <f>175475/1000*1.69</f>
        <v>296.55275</v>
      </c>
      <c r="F21" s="11">
        <f>183953000/1000/0.904</f>
        <v>203487.83185840707</v>
      </c>
      <c r="G21" s="10">
        <f>177307*1.69/1000</f>
        <v>299.64883000000003</v>
      </c>
      <c r="H21" s="11">
        <f>189723000/1000/0.8873</f>
        <v>213820.57928547278</v>
      </c>
      <c r="I21" s="10">
        <f>188099/1000*1.69</f>
        <v>317.88730999999996</v>
      </c>
      <c r="J21" s="11">
        <f>187567000/1000/0.904</f>
        <v>207485.61946902654</v>
      </c>
      <c r="K21" s="10">
        <f>208244/1000*1.69</f>
        <v>351.93236000000002</v>
      </c>
      <c r="L21" s="11">
        <f>219137000/1000/0.8873</f>
        <v>246970.58492054549</v>
      </c>
    </row>
    <row r="22" spans="2:12" x14ac:dyDescent="0.2">
      <c r="B22" s="1" t="s">
        <v>47</v>
      </c>
      <c r="C22" s="16">
        <v>2</v>
      </c>
      <c r="D22" s="17">
        <v>2</v>
      </c>
      <c r="E22" s="10">
        <v>0</v>
      </c>
      <c r="F22" s="11">
        <v>0</v>
      </c>
      <c r="G22" s="10">
        <v>1.03</v>
      </c>
      <c r="H22" s="11">
        <f>205344034/106.8/1000</f>
        <v>1922.6969475655433</v>
      </c>
      <c r="I22" s="10">
        <v>0</v>
      </c>
      <c r="J22" s="11">
        <v>0</v>
      </c>
      <c r="K22" s="10">
        <v>0</v>
      </c>
      <c r="L22" s="11">
        <v>0</v>
      </c>
    </row>
    <row r="23" spans="2:12" x14ac:dyDescent="0.2">
      <c r="B23" s="1" t="s">
        <v>28</v>
      </c>
      <c r="C23" s="16" t="s">
        <v>7</v>
      </c>
      <c r="D23" s="17" t="s">
        <v>7</v>
      </c>
      <c r="E23" s="16" t="s">
        <v>7</v>
      </c>
      <c r="F23" s="20" t="s">
        <v>7</v>
      </c>
      <c r="G23" s="10">
        <f>204859/1000*1.69</f>
        <v>346.21170999999998</v>
      </c>
      <c r="H23" s="11">
        <f>196617/0.8873</f>
        <v>221590.21751380592</v>
      </c>
      <c r="I23" s="16" t="s">
        <v>7</v>
      </c>
      <c r="J23" s="20" t="s">
        <v>7</v>
      </c>
      <c r="K23" s="10">
        <f>15723/1000*1.69</f>
        <v>26.571870000000001</v>
      </c>
      <c r="L23" s="11">
        <f>36011/0.8873</f>
        <v>40584.920545475041</v>
      </c>
    </row>
    <row r="24" spans="2:12" x14ac:dyDescent="0.2">
      <c r="C24" s="16"/>
      <c r="D24" s="17"/>
      <c r="E24" s="16"/>
      <c r="F24" s="20"/>
      <c r="G24" s="10"/>
      <c r="H24" s="11"/>
      <c r="I24" s="16"/>
      <c r="J24" s="20"/>
      <c r="K24" s="10"/>
      <c r="L24" s="11"/>
    </row>
    <row r="25" spans="2:12" x14ac:dyDescent="0.2">
      <c r="B25" s="1" t="s">
        <v>29</v>
      </c>
      <c r="C25" s="16">
        <v>0</v>
      </c>
      <c r="D25" s="17">
        <v>0</v>
      </c>
      <c r="E25" s="10">
        <f>0.4*1.69</f>
        <v>0.67600000000000005</v>
      </c>
      <c r="F25" s="11">
        <f>0.9*1000</f>
        <v>900</v>
      </c>
      <c r="G25" s="10">
        <f>0.2*1.69</f>
        <v>0.33800000000000002</v>
      </c>
      <c r="H25" s="11">
        <f>0.3*1000</f>
        <v>300</v>
      </c>
      <c r="I25" s="10">
        <v>0</v>
      </c>
      <c r="J25" s="11">
        <v>0</v>
      </c>
      <c r="K25" s="10">
        <v>0</v>
      </c>
      <c r="L25" s="11">
        <v>0</v>
      </c>
    </row>
    <row r="26" spans="2:12" x14ac:dyDescent="0.2">
      <c r="B26" s="1" t="s">
        <v>30</v>
      </c>
      <c r="C26" s="16" t="s">
        <v>7</v>
      </c>
      <c r="D26" s="17" t="s">
        <v>7</v>
      </c>
      <c r="E26" s="16" t="s">
        <v>7</v>
      </c>
      <c r="F26" s="11">
        <v>0</v>
      </c>
      <c r="G26" s="16" t="s">
        <v>7</v>
      </c>
      <c r="H26" s="11">
        <f>147489/1000/0.8873</f>
        <v>166.22224726698974</v>
      </c>
      <c r="I26" s="16" t="s">
        <v>7</v>
      </c>
      <c r="J26" s="11">
        <v>0</v>
      </c>
      <c r="K26" s="16" t="s">
        <v>7</v>
      </c>
      <c r="L26" s="11">
        <v>0</v>
      </c>
    </row>
    <row r="27" spans="2:12" x14ac:dyDescent="0.2">
      <c r="B27" s="1" t="s">
        <v>31</v>
      </c>
      <c r="C27" s="16" t="s">
        <v>7</v>
      </c>
      <c r="D27" s="17" t="s">
        <v>7</v>
      </c>
      <c r="E27" s="16" t="s">
        <v>7</v>
      </c>
      <c r="F27" s="20" t="s">
        <v>7</v>
      </c>
      <c r="G27" s="16" t="s">
        <v>7</v>
      </c>
      <c r="H27" s="20" t="s">
        <v>7</v>
      </c>
      <c r="I27" s="16" t="s">
        <v>7</v>
      </c>
      <c r="J27" s="20" t="s">
        <v>7</v>
      </c>
      <c r="K27" s="16" t="s">
        <v>7</v>
      </c>
      <c r="L27" s="20" t="s">
        <v>7</v>
      </c>
    </row>
    <row r="28" spans="2:12" x14ac:dyDescent="0.2">
      <c r="B28" s="1" t="s">
        <v>39</v>
      </c>
      <c r="C28" s="16" t="s">
        <v>7</v>
      </c>
      <c r="D28" s="17" t="s">
        <v>7</v>
      </c>
      <c r="E28" s="16" t="s">
        <v>7</v>
      </c>
      <c r="F28" s="20" t="s">
        <v>7</v>
      </c>
      <c r="G28" s="16" t="s">
        <v>7</v>
      </c>
      <c r="H28" s="20" t="s">
        <v>7</v>
      </c>
      <c r="I28" s="16" t="s">
        <v>7</v>
      </c>
      <c r="J28" s="20" t="s">
        <v>7</v>
      </c>
      <c r="K28" s="16" t="s">
        <v>7</v>
      </c>
      <c r="L28" s="20" t="s">
        <v>7</v>
      </c>
    </row>
    <row r="29" spans="2:12" x14ac:dyDescent="0.2">
      <c r="B29" s="1" t="s">
        <v>32</v>
      </c>
      <c r="C29" s="16">
        <v>60</v>
      </c>
      <c r="D29" s="17">
        <v>65</v>
      </c>
      <c r="E29" s="10">
        <v>26</v>
      </c>
      <c r="F29" s="11">
        <f>51784.6/3.9454</f>
        <v>13125.310488163432</v>
      </c>
      <c r="G29" s="10">
        <v>20</v>
      </c>
      <c r="H29" s="11">
        <f>42808.3/3.7775</f>
        <v>11332.442091330246</v>
      </c>
      <c r="I29" s="10">
        <v>56</v>
      </c>
      <c r="J29" s="11">
        <f>145560.4/3.9454</f>
        <v>36893.698991230296</v>
      </c>
      <c r="K29" s="10">
        <v>62</v>
      </c>
      <c r="L29" s="11">
        <f>182413.6/3.7775</f>
        <v>48289.503639973533</v>
      </c>
    </row>
    <row r="30" spans="2:12" x14ac:dyDescent="0.2">
      <c r="C30" s="16"/>
      <c r="D30" s="17"/>
      <c r="E30" s="10"/>
      <c r="F30" s="11"/>
      <c r="G30" s="10"/>
      <c r="H30" s="11"/>
      <c r="I30" s="10"/>
      <c r="J30" s="11"/>
      <c r="K30" s="10"/>
      <c r="L30" s="11"/>
    </row>
    <row r="31" spans="2:12" x14ac:dyDescent="0.2">
      <c r="B31" s="1" t="s">
        <v>33</v>
      </c>
      <c r="C31" s="16">
        <v>0</v>
      </c>
      <c r="D31" s="17">
        <v>0</v>
      </c>
      <c r="E31" s="10">
        <v>5.1989320000000001</v>
      </c>
      <c r="F31" s="11">
        <f>5930.698/0.904</f>
        <v>6560.5066371681414</v>
      </c>
      <c r="G31" s="10">
        <v>2.4088660000000002</v>
      </c>
      <c r="H31" s="11">
        <f>2515.324/0.8873</f>
        <v>2834.8067170066497</v>
      </c>
      <c r="I31" s="10">
        <v>2.1199819999999998</v>
      </c>
      <c r="J31" s="11">
        <f>3987.015/0.904</f>
        <v>4410.4148230088495</v>
      </c>
      <c r="K31" s="10">
        <v>2.04542</v>
      </c>
      <c r="L31" s="11">
        <f>4489.902/0.8873</f>
        <v>5060.1848303843117</v>
      </c>
    </row>
    <row r="32" spans="2:12" x14ac:dyDescent="0.2">
      <c r="B32" s="1" t="s">
        <v>34</v>
      </c>
      <c r="C32" s="16">
        <v>12</v>
      </c>
      <c r="D32" s="17">
        <v>14</v>
      </c>
      <c r="E32" s="10">
        <v>1.8</v>
      </c>
      <c r="F32" s="11">
        <v>964</v>
      </c>
      <c r="G32" s="10">
        <v>3.2</v>
      </c>
      <c r="H32" s="11">
        <v>1859</v>
      </c>
      <c r="I32" s="10">
        <v>6.7</v>
      </c>
      <c r="J32" s="11">
        <v>4261</v>
      </c>
      <c r="K32" s="10">
        <v>8.6</v>
      </c>
      <c r="L32" s="11">
        <v>6101</v>
      </c>
    </row>
    <row r="33" spans="2:12" x14ac:dyDescent="0.2">
      <c r="B33" s="1" t="s">
        <v>35</v>
      </c>
      <c r="C33" s="16">
        <v>18.5</v>
      </c>
      <c r="D33" s="17">
        <v>12.5</v>
      </c>
      <c r="E33" s="10">
        <v>20.238</v>
      </c>
      <c r="F33" s="11">
        <f>18281.828/0.904</f>
        <v>20223.261061946905</v>
      </c>
      <c r="G33" s="10">
        <v>21.167000000000002</v>
      </c>
      <c r="H33" s="11">
        <f>19799.7/0.8873</f>
        <v>22314.549757691875</v>
      </c>
      <c r="I33" s="10">
        <v>37.856999999999999</v>
      </c>
      <c r="J33" s="11">
        <f>28585.542/0.904</f>
        <v>31621.174778761062</v>
      </c>
      <c r="K33" s="10">
        <v>32.215000000000003</v>
      </c>
      <c r="L33" s="11">
        <f>23730.827/0.8873</f>
        <v>26744.987039332809</v>
      </c>
    </row>
    <row r="34" spans="2:12" x14ac:dyDescent="0.2">
      <c r="B34" s="1" t="s">
        <v>36</v>
      </c>
      <c r="C34" s="16" t="s">
        <v>7</v>
      </c>
      <c r="D34" s="17" t="s">
        <v>7</v>
      </c>
      <c r="E34" s="10">
        <v>8.618575295555555</v>
      </c>
      <c r="F34" s="11">
        <v>4215.9337997787607</v>
      </c>
      <c r="G34" s="10">
        <v>13.643228819999999</v>
      </c>
      <c r="H34" s="11">
        <v>6571.0230364025701</v>
      </c>
      <c r="I34" s="10">
        <v>13.941340604444443</v>
      </c>
      <c r="J34" s="11">
        <v>9287.8345783185814</v>
      </c>
      <c r="K34" s="10">
        <v>12.377249235555556</v>
      </c>
      <c r="L34" s="11">
        <v>9565.3238895525756</v>
      </c>
    </row>
    <row r="35" spans="2:12" x14ac:dyDescent="0.2">
      <c r="B35" s="1" t="s">
        <v>37</v>
      </c>
      <c r="C35" s="16" t="s">
        <v>7</v>
      </c>
      <c r="D35" s="17" t="s">
        <v>7</v>
      </c>
      <c r="E35" s="16" t="s">
        <v>7</v>
      </c>
      <c r="F35" s="20" t="s">
        <v>7</v>
      </c>
      <c r="G35" s="16" t="s">
        <v>7</v>
      </c>
      <c r="H35" s="20" t="s">
        <v>7</v>
      </c>
      <c r="I35" s="16" t="s">
        <v>7</v>
      </c>
      <c r="J35" s="20" t="s">
        <v>7</v>
      </c>
      <c r="K35" s="16" t="s">
        <v>7</v>
      </c>
      <c r="L35" s="20" t="s">
        <v>7</v>
      </c>
    </row>
    <row r="36" spans="2:12" x14ac:dyDescent="0.2">
      <c r="C36" s="16"/>
      <c r="D36" s="17"/>
      <c r="E36" s="16"/>
      <c r="F36" s="20"/>
      <c r="G36" s="16"/>
      <c r="H36" s="20"/>
      <c r="I36" s="16"/>
      <c r="J36" s="20"/>
      <c r="K36" s="16"/>
      <c r="L36" s="20"/>
    </row>
    <row r="37" spans="2:12" x14ac:dyDescent="0.2">
      <c r="B37" s="1" t="s">
        <v>38</v>
      </c>
      <c r="C37" s="18" t="s">
        <v>23</v>
      </c>
      <c r="D37" s="19" t="s">
        <v>23</v>
      </c>
      <c r="E37" s="10">
        <v>0</v>
      </c>
      <c r="F37" s="11">
        <v>0</v>
      </c>
      <c r="G37" s="10">
        <v>16.206</v>
      </c>
      <c r="H37" s="11">
        <f>297943/8.5481</f>
        <v>34854.880031819936</v>
      </c>
      <c r="I37" s="10">
        <v>0</v>
      </c>
      <c r="J37" s="11">
        <v>0</v>
      </c>
      <c r="K37" s="10">
        <v>11.335000000000001</v>
      </c>
      <c r="L37" s="11">
        <f>164907/8.5481</f>
        <v>19291.65545559832</v>
      </c>
    </row>
    <row r="38" spans="2:12" x14ac:dyDescent="0.2">
      <c r="B38" s="1" t="s">
        <v>40</v>
      </c>
      <c r="C38" s="16" t="s">
        <v>7</v>
      </c>
      <c r="D38" s="17" t="s">
        <v>7</v>
      </c>
      <c r="E38" s="16" t="s">
        <v>7</v>
      </c>
      <c r="F38" s="20" t="s">
        <v>7</v>
      </c>
      <c r="G38" s="10">
        <f>4585/1000</f>
        <v>4.585</v>
      </c>
      <c r="H38" s="11">
        <v>10438</v>
      </c>
      <c r="I38" s="16" t="s">
        <v>7</v>
      </c>
      <c r="J38" s="20" t="s">
        <v>7</v>
      </c>
      <c r="K38" s="10">
        <f>31622/1000</f>
        <v>31.622</v>
      </c>
      <c r="L38" s="11">
        <v>53521</v>
      </c>
    </row>
    <row r="39" spans="2:12" x14ac:dyDescent="0.2">
      <c r="B39" s="1" t="s">
        <v>41</v>
      </c>
      <c r="C39" s="16" t="s">
        <v>7</v>
      </c>
      <c r="D39" s="17" t="s">
        <v>7</v>
      </c>
      <c r="E39" s="10" t="s">
        <v>7</v>
      </c>
      <c r="F39" s="11" t="s">
        <v>7</v>
      </c>
      <c r="G39" s="10" t="s">
        <v>7</v>
      </c>
      <c r="H39" s="11" t="s">
        <v>7</v>
      </c>
      <c r="I39" s="10" t="s">
        <v>7</v>
      </c>
      <c r="J39" s="11" t="s">
        <v>7</v>
      </c>
      <c r="K39" s="10" t="s">
        <v>7</v>
      </c>
      <c r="L39" s="11" t="s">
        <v>7</v>
      </c>
    </row>
    <row r="40" spans="2:12" x14ac:dyDescent="0.2">
      <c r="B40" s="1" t="s">
        <v>42</v>
      </c>
      <c r="C40" s="16" t="s">
        <v>7</v>
      </c>
      <c r="D40" s="17" t="s">
        <v>7</v>
      </c>
      <c r="E40" s="10">
        <f>26*1.69</f>
        <v>43.94</v>
      </c>
      <c r="F40" s="11">
        <v>38332.73733963538</v>
      </c>
      <c r="G40" s="10">
        <f>41.725*1.69</f>
        <v>70.515249999999995</v>
      </c>
      <c r="H40" s="11">
        <v>44629.508175614777</v>
      </c>
      <c r="I40" s="10">
        <f>2.992*1.69</f>
        <v>5.0564799999999996</v>
      </c>
      <c r="J40" s="11">
        <v>4114.2147197839295</v>
      </c>
      <c r="K40" s="10">
        <f>1.551*1.69</f>
        <v>2.6211899999999999</v>
      </c>
      <c r="L40" s="11">
        <v>2165.9559675550404</v>
      </c>
    </row>
    <row r="41" spans="2:12" x14ac:dyDescent="0.2">
      <c r="B41" s="2" t="s">
        <v>43</v>
      </c>
      <c r="C41" s="23">
        <v>607</v>
      </c>
      <c r="D41" s="24">
        <v>640</v>
      </c>
      <c r="E41" s="23" t="s">
        <v>7</v>
      </c>
      <c r="F41" s="25" t="s">
        <v>7</v>
      </c>
      <c r="G41" s="23" t="s">
        <v>7</v>
      </c>
      <c r="H41" s="25" t="s">
        <v>7</v>
      </c>
      <c r="I41" s="23" t="s">
        <v>7</v>
      </c>
      <c r="J41" s="25" t="s">
        <v>7</v>
      </c>
      <c r="K41" s="23" t="s">
        <v>7</v>
      </c>
      <c r="L41" s="25" t="s">
        <v>7</v>
      </c>
    </row>
    <row r="42" spans="2:12" ht="16.5" x14ac:dyDescent="0.2">
      <c r="B42" s="1" t="s">
        <v>45</v>
      </c>
    </row>
    <row r="43" spans="2:12" x14ac:dyDescent="0.2">
      <c r="B43" s="1" t="s">
        <v>48</v>
      </c>
    </row>
    <row r="44" spans="2:12" x14ac:dyDescent="0.2">
      <c r="B44" s="26" t="s">
        <v>49</v>
      </c>
    </row>
  </sheetData>
  <mergeCells count="9">
    <mergeCell ref="C4:L4"/>
    <mergeCell ref="C6:L6"/>
    <mergeCell ref="E8:H8"/>
    <mergeCell ref="I8:L8"/>
    <mergeCell ref="E9:F9"/>
    <mergeCell ref="G9:H9"/>
    <mergeCell ref="I9:J9"/>
    <mergeCell ref="K9:L9"/>
    <mergeCell ref="C8:D8"/>
  </mergeCells>
  <pageMargins left="0.7" right="0.7" top="0.75" bottom="0.75" header="0.3" footer="0.3"/>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43"/>
  <sheetViews>
    <sheetView workbookViewId="0"/>
  </sheetViews>
  <sheetFormatPr defaultRowHeight="14.25" x14ac:dyDescent="0.2"/>
  <cols>
    <col min="1" max="1" width="9.140625" style="1"/>
    <col min="2" max="2" width="21.28515625" style="1" customWidth="1"/>
    <col min="3" max="12" width="12.7109375" style="1" customWidth="1"/>
    <col min="13" max="16384" width="9.140625" style="1"/>
  </cols>
  <sheetData>
    <row r="1" spans="2:12" ht="15" x14ac:dyDescent="0.25">
      <c r="C1" s="13"/>
    </row>
    <row r="4" spans="2:12" ht="15.75" x14ac:dyDescent="0.25">
      <c r="C4" s="30" t="s">
        <v>6</v>
      </c>
      <c r="D4" s="30"/>
      <c r="E4" s="30"/>
      <c r="F4" s="30"/>
      <c r="G4" s="30"/>
      <c r="H4" s="30"/>
      <c r="I4" s="30"/>
      <c r="J4" s="30"/>
      <c r="K4" s="30"/>
      <c r="L4" s="30"/>
    </row>
    <row r="5" spans="2:12" ht="15.75" x14ac:dyDescent="0.25">
      <c r="C5" s="7"/>
      <c r="D5" s="7"/>
      <c r="E5" s="7"/>
      <c r="F5" s="7"/>
      <c r="G5" s="7"/>
      <c r="H5" s="7"/>
      <c r="I5" s="7"/>
      <c r="J5" s="7"/>
      <c r="K5" s="7"/>
      <c r="L5" s="7"/>
    </row>
    <row r="6" spans="2:12" ht="15.75" x14ac:dyDescent="0.25">
      <c r="C6" s="30" t="s">
        <v>50</v>
      </c>
      <c r="D6" s="30"/>
      <c r="E6" s="30"/>
      <c r="F6" s="30"/>
      <c r="G6" s="30"/>
      <c r="H6" s="30"/>
      <c r="I6" s="30"/>
      <c r="J6" s="30"/>
      <c r="K6" s="30"/>
      <c r="L6" s="30"/>
    </row>
    <row r="8" spans="2:12" x14ac:dyDescent="0.2">
      <c r="C8" s="28" t="s">
        <v>0</v>
      </c>
      <c r="D8" s="31"/>
      <c r="E8" s="28" t="s">
        <v>4</v>
      </c>
      <c r="F8" s="29"/>
      <c r="G8" s="29"/>
      <c r="H8" s="29"/>
      <c r="I8" s="28" t="s">
        <v>5</v>
      </c>
      <c r="J8" s="29"/>
      <c r="K8" s="29"/>
      <c r="L8" s="29"/>
    </row>
    <row r="9" spans="2:12" ht="15" x14ac:dyDescent="0.25">
      <c r="B9"/>
      <c r="C9" s="3">
        <v>2016</v>
      </c>
      <c r="D9" s="3">
        <f>C9+1</f>
        <v>2017</v>
      </c>
      <c r="E9" s="28">
        <v>2016</v>
      </c>
      <c r="F9" s="31"/>
      <c r="G9" s="28">
        <v>2017</v>
      </c>
      <c r="H9" s="31"/>
      <c r="I9" s="28">
        <v>2016</v>
      </c>
      <c r="J9" s="31"/>
      <c r="K9" s="28">
        <v>2017</v>
      </c>
      <c r="L9" s="29"/>
    </row>
    <row r="10" spans="2:12" x14ac:dyDescent="0.2">
      <c r="B10" s="2" t="s">
        <v>1</v>
      </c>
      <c r="C10" s="4" t="s">
        <v>8</v>
      </c>
      <c r="D10" s="4" t="s">
        <v>8</v>
      </c>
      <c r="E10" s="5" t="s">
        <v>8</v>
      </c>
      <c r="F10" s="6" t="s">
        <v>9</v>
      </c>
      <c r="G10" s="5" t="s">
        <v>8</v>
      </c>
      <c r="H10" s="6" t="s">
        <v>9</v>
      </c>
      <c r="I10" s="5" t="s">
        <v>8</v>
      </c>
      <c r="J10" s="6" t="s">
        <v>9</v>
      </c>
      <c r="K10" s="5" t="s">
        <v>8</v>
      </c>
      <c r="L10" s="6" t="s">
        <v>9</v>
      </c>
    </row>
    <row r="11" spans="2:12" x14ac:dyDescent="0.2">
      <c r="B11" s="1" t="s">
        <v>2</v>
      </c>
      <c r="C11" s="14" t="s">
        <v>7</v>
      </c>
      <c r="D11" s="15" t="s">
        <v>7</v>
      </c>
      <c r="E11" s="8">
        <f>0.00246*2</f>
        <v>4.9199999999999999E-3</v>
      </c>
      <c r="F11" s="9">
        <f>15121/1000</f>
        <v>15.121</v>
      </c>
      <c r="G11" s="8">
        <f>0.288666*2</f>
        <v>0.57733199999999996</v>
      </c>
      <c r="H11" s="9">
        <f>638047/1000</f>
        <v>638.04700000000003</v>
      </c>
      <c r="I11" s="8">
        <v>0</v>
      </c>
      <c r="J11" s="9">
        <v>0</v>
      </c>
      <c r="K11" s="8">
        <f>0.00974*2</f>
        <v>1.9480000000000001E-2</v>
      </c>
      <c r="L11" s="9">
        <f>19681/1000</f>
        <v>19.681000000000001</v>
      </c>
    </row>
    <row r="12" spans="2:12" x14ac:dyDescent="0.2">
      <c r="B12" s="1" t="s">
        <v>18</v>
      </c>
      <c r="C12" s="16">
        <f>315/1000</f>
        <v>0.315</v>
      </c>
      <c r="D12" s="17">
        <f>182.7/1000</f>
        <v>0.1827</v>
      </c>
      <c r="E12" s="10">
        <f>1091/1000</f>
        <v>1.091</v>
      </c>
      <c r="F12" s="11">
        <v>2557</v>
      </c>
      <c r="G12" s="10">
        <f>1359/1000</f>
        <v>1.359</v>
      </c>
      <c r="H12" s="11">
        <v>1911</v>
      </c>
      <c r="I12" s="10">
        <f>24/1000</f>
        <v>2.4E-2</v>
      </c>
      <c r="J12" s="11">
        <v>21</v>
      </c>
      <c r="K12" s="10">
        <f>52/1000</f>
        <v>5.1999999999999998E-2</v>
      </c>
      <c r="L12" s="11">
        <v>58</v>
      </c>
    </row>
    <row r="13" spans="2:12" x14ac:dyDescent="0.2">
      <c r="B13" s="1" t="s">
        <v>20</v>
      </c>
      <c r="C13" s="16">
        <v>0</v>
      </c>
      <c r="D13" s="17">
        <v>0</v>
      </c>
      <c r="E13" s="10">
        <v>0</v>
      </c>
      <c r="F13" s="11">
        <v>0</v>
      </c>
      <c r="G13" s="10">
        <v>0</v>
      </c>
      <c r="H13" s="11">
        <v>0</v>
      </c>
      <c r="I13" s="10">
        <v>0</v>
      </c>
      <c r="J13" s="11">
        <v>0</v>
      </c>
      <c r="K13" s="10">
        <v>0</v>
      </c>
      <c r="L13" s="11">
        <v>0</v>
      </c>
    </row>
    <row r="14" spans="2:12" x14ac:dyDescent="0.2">
      <c r="B14" s="1" t="s">
        <v>21</v>
      </c>
      <c r="C14" s="16" t="s">
        <v>7</v>
      </c>
      <c r="D14" s="17" t="s">
        <v>7</v>
      </c>
      <c r="E14" s="10">
        <v>1.6830000000000001</v>
      </c>
      <c r="F14" s="11">
        <f>4799403/1000/1.7681</f>
        <v>2714.4409252870314</v>
      </c>
      <c r="G14" s="10">
        <v>1.4610000000000001</v>
      </c>
      <c r="H14" s="11">
        <f>5656159/1000/1.7354</f>
        <v>3259.2825861472857</v>
      </c>
      <c r="I14" s="10">
        <v>5.1740000000000004</v>
      </c>
      <c r="J14" s="11">
        <f>7978870/1000/1.7681</f>
        <v>4512.6802782648037</v>
      </c>
      <c r="K14" s="10">
        <v>6.63</v>
      </c>
      <c r="L14" s="11">
        <f>10027362/1000/1.7354</f>
        <v>5778.1272329146013</v>
      </c>
    </row>
    <row r="15" spans="2:12" ht="16.5" x14ac:dyDescent="0.2">
      <c r="B15" s="1" t="s">
        <v>55</v>
      </c>
      <c r="C15" s="18" t="s">
        <v>23</v>
      </c>
      <c r="D15" s="19">
        <v>75</v>
      </c>
      <c r="E15" s="16" t="s">
        <v>7</v>
      </c>
      <c r="F15" s="20" t="s">
        <v>7</v>
      </c>
      <c r="G15" s="16" t="s">
        <v>7</v>
      </c>
      <c r="H15" s="20" t="s">
        <v>7</v>
      </c>
      <c r="I15" s="16" t="s">
        <v>7</v>
      </c>
      <c r="J15" s="20" t="s">
        <v>7</v>
      </c>
      <c r="K15" s="16" t="s">
        <v>7</v>
      </c>
      <c r="L15" s="20" t="s">
        <v>7</v>
      </c>
    </row>
    <row r="16" spans="2:12" x14ac:dyDescent="0.2">
      <c r="B16" s="1" t="s">
        <v>52</v>
      </c>
      <c r="C16" s="18">
        <v>0</v>
      </c>
      <c r="D16" s="19">
        <v>0</v>
      </c>
      <c r="E16" s="16">
        <v>0.78</v>
      </c>
      <c r="F16" s="20">
        <v>785.80651999999998</v>
      </c>
      <c r="G16" s="16">
        <v>1.8660000000000001</v>
      </c>
      <c r="H16" s="20">
        <v>1923.5954160000001</v>
      </c>
      <c r="I16" s="16">
        <v>0</v>
      </c>
      <c r="J16" s="20">
        <v>0</v>
      </c>
      <c r="K16" s="16">
        <v>0</v>
      </c>
      <c r="L16" s="20">
        <v>0</v>
      </c>
    </row>
    <row r="17" spans="2:12" x14ac:dyDescent="0.2">
      <c r="C17" s="18"/>
      <c r="D17" s="19"/>
      <c r="E17" s="16"/>
      <c r="F17" s="20"/>
      <c r="G17" s="16"/>
      <c r="H17" s="20"/>
      <c r="I17" s="16"/>
      <c r="J17" s="20"/>
      <c r="K17" s="16"/>
      <c r="L17" s="20"/>
    </row>
    <row r="18" spans="2:12" x14ac:dyDescent="0.2">
      <c r="B18" s="1" t="s">
        <v>24</v>
      </c>
      <c r="C18" s="16" t="s">
        <v>7</v>
      </c>
      <c r="D18" s="17" t="s">
        <v>7</v>
      </c>
      <c r="E18" s="16" t="s">
        <v>7</v>
      </c>
      <c r="F18" s="20" t="s">
        <v>7</v>
      </c>
      <c r="G18" s="16" t="s">
        <v>7</v>
      </c>
      <c r="H18" s="20" t="s">
        <v>7</v>
      </c>
      <c r="I18" s="16" t="s">
        <v>7</v>
      </c>
      <c r="J18" s="20" t="s">
        <v>7</v>
      </c>
      <c r="K18" s="16" t="s">
        <v>7</v>
      </c>
      <c r="L18" s="20" t="s">
        <v>7</v>
      </c>
    </row>
    <row r="19" spans="2:12" x14ac:dyDescent="0.2">
      <c r="B19" s="1" t="s">
        <v>25</v>
      </c>
      <c r="C19" s="16" t="s">
        <v>7</v>
      </c>
      <c r="D19" s="17" t="s">
        <v>7</v>
      </c>
      <c r="E19" s="16" t="s">
        <v>7</v>
      </c>
      <c r="F19" s="20" t="s">
        <v>7</v>
      </c>
      <c r="G19" s="16" t="s">
        <v>7</v>
      </c>
      <c r="H19" s="20" t="s">
        <v>7</v>
      </c>
      <c r="I19" s="16" t="s">
        <v>7</v>
      </c>
      <c r="J19" s="20" t="s">
        <v>7</v>
      </c>
      <c r="K19" s="16" t="s">
        <v>7</v>
      </c>
      <c r="L19" s="20" t="s">
        <v>7</v>
      </c>
    </row>
    <row r="20" spans="2:12" ht="16.5" x14ac:dyDescent="0.2">
      <c r="B20" s="1" t="s">
        <v>44</v>
      </c>
      <c r="C20" s="16">
        <v>8</v>
      </c>
      <c r="D20" s="17">
        <v>8</v>
      </c>
      <c r="E20" s="16" t="s">
        <v>7</v>
      </c>
      <c r="F20" s="20" t="s">
        <v>7</v>
      </c>
      <c r="G20" s="16" t="s">
        <v>7</v>
      </c>
      <c r="H20" s="20" t="s">
        <v>7</v>
      </c>
      <c r="I20" s="16" t="s">
        <v>7</v>
      </c>
      <c r="J20" s="20" t="s">
        <v>7</v>
      </c>
      <c r="K20" s="16" t="s">
        <v>7</v>
      </c>
      <c r="L20" s="20" t="s">
        <v>7</v>
      </c>
    </row>
    <row r="21" spans="2:12" x14ac:dyDescent="0.2">
      <c r="B21" s="1" t="s">
        <v>27</v>
      </c>
      <c r="C21" s="16">
        <v>160</v>
      </c>
      <c r="D21" s="17">
        <v>200</v>
      </c>
      <c r="E21" s="16" t="s">
        <v>7</v>
      </c>
      <c r="F21" s="20" t="s">
        <v>7</v>
      </c>
      <c r="G21" s="16" t="s">
        <v>7</v>
      </c>
      <c r="H21" s="20" t="s">
        <v>7</v>
      </c>
      <c r="I21" s="16" t="s">
        <v>7</v>
      </c>
      <c r="J21" s="20" t="s">
        <v>7</v>
      </c>
      <c r="K21" s="16" t="s">
        <v>7</v>
      </c>
      <c r="L21" s="20" t="s">
        <v>7</v>
      </c>
    </row>
    <row r="22" spans="2:12" x14ac:dyDescent="0.2">
      <c r="B22" s="1" t="s">
        <v>47</v>
      </c>
      <c r="C22" s="16" t="s">
        <v>7</v>
      </c>
      <c r="D22" s="17" t="s">
        <v>7</v>
      </c>
      <c r="E22" s="16">
        <v>0</v>
      </c>
      <c r="F22" s="20">
        <v>0</v>
      </c>
      <c r="G22" s="16">
        <v>1</v>
      </c>
      <c r="H22" s="20">
        <f>179610980/106.8/1000</f>
        <v>1681.7507490636704</v>
      </c>
      <c r="I22" s="16">
        <v>0</v>
      </c>
      <c r="J22" s="20">
        <v>0</v>
      </c>
      <c r="K22" s="16">
        <v>0</v>
      </c>
      <c r="L22" s="20">
        <v>0</v>
      </c>
    </row>
    <row r="23" spans="2:12" x14ac:dyDescent="0.2">
      <c r="B23" s="1" t="s">
        <v>28</v>
      </c>
      <c r="C23" s="16" t="s">
        <v>7</v>
      </c>
      <c r="D23" s="17" t="s">
        <v>7</v>
      </c>
      <c r="E23" s="16" t="s">
        <v>7</v>
      </c>
      <c r="F23" s="20" t="s">
        <v>7</v>
      </c>
      <c r="G23" s="16" t="s">
        <v>7</v>
      </c>
      <c r="H23" s="20" t="s">
        <v>7</v>
      </c>
      <c r="I23" s="16" t="s">
        <v>7</v>
      </c>
      <c r="J23" s="20" t="s">
        <v>7</v>
      </c>
      <c r="K23" s="16" t="s">
        <v>7</v>
      </c>
      <c r="L23" s="20" t="s">
        <v>7</v>
      </c>
    </row>
    <row r="24" spans="2:12" x14ac:dyDescent="0.2">
      <c r="C24" s="16"/>
      <c r="D24" s="17"/>
      <c r="E24" s="16"/>
      <c r="F24" s="20"/>
      <c r="G24" s="16"/>
      <c r="H24" s="20"/>
      <c r="I24" s="16"/>
      <c r="J24" s="20"/>
      <c r="K24" s="16"/>
      <c r="L24" s="20"/>
    </row>
    <row r="25" spans="2:12" x14ac:dyDescent="0.2">
      <c r="B25" s="1" t="s">
        <v>29</v>
      </c>
      <c r="C25" s="16">
        <v>0</v>
      </c>
      <c r="D25" s="17">
        <v>0</v>
      </c>
      <c r="E25" s="16">
        <v>0</v>
      </c>
      <c r="F25" s="20">
        <v>0</v>
      </c>
      <c r="G25" s="16">
        <f>0.3*2</f>
        <v>0.6</v>
      </c>
      <c r="H25" s="20">
        <f>0.3*1000</f>
        <v>300</v>
      </c>
      <c r="I25" s="16">
        <v>0</v>
      </c>
      <c r="J25" s="20">
        <v>0</v>
      </c>
      <c r="K25" s="16">
        <v>0</v>
      </c>
      <c r="L25" s="20">
        <v>0</v>
      </c>
    </row>
    <row r="26" spans="2:12" x14ac:dyDescent="0.2">
      <c r="B26" s="1" t="s">
        <v>30</v>
      </c>
      <c r="C26" s="16" t="s">
        <v>7</v>
      </c>
      <c r="D26" s="17" t="s">
        <v>7</v>
      </c>
      <c r="E26" s="16" t="s">
        <v>7</v>
      </c>
      <c r="F26" s="11">
        <v>0</v>
      </c>
      <c r="G26" s="16" t="s">
        <v>7</v>
      </c>
      <c r="H26" s="11">
        <f>473505/1000*0.8873</f>
        <v>420.1409865</v>
      </c>
      <c r="I26" s="16" t="s">
        <v>7</v>
      </c>
      <c r="J26" s="11">
        <v>0</v>
      </c>
      <c r="K26" s="16" t="s">
        <v>7</v>
      </c>
      <c r="L26" s="11">
        <f>90712/1000/0.8873</f>
        <v>102.23374281528233</v>
      </c>
    </row>
    <row r="27" spans="2:12" x14ac:dyDescent="0.2">
      <c r="B27" s="1" t="s">
        <v>31</v>
      </c>
      <c r="C27" s="16" t="s">
        <v>7</v>
      </c>
      <c r="D27" s="17" t="s">
        <v>7</v>
      </c>
      <c r="E27" s="16" t="s">
        <v>7</v>
      </c>
      <c r="F27" s="20" t="s">
        <v>7</v>
      </c>
      <c r="G27" s="16" t="s">
        <v>7</v>
      </c>
      <c r="H27" s="20" t="s">
        <v>7</v>
      </c>
      <c r="I27" s="16" t="s">
        <v>7</v>
      </c>
      <c r="J27" s="20" t="s">
        <v>7</v>
      </c>
      <c r="K27" s="16" t="s">
        <v>7</v>
      </c>
      <c r="L27" s="20" t="s">
        <v>7</v>
      </c>
    </row>
    <row r="28" spans="2:12" x14ac:dyDescent="0.2">
      <c r="B28" s="1" t="s">
        <v>39</v>
      </c>
      <c r="C28" s="16" t="s">
        <v>7</v>
      </c>
      <c r="D28" s="17" t="s">
        <v>7</v>
      </c>
      <c r="E28" s="16" t="s">
        <v>7</v>
      </c>
      <c r="F28" s="20" t="s">
        <v>7</v>
      </c>
      <c r="G28" s="16" t="s">
        <v>7</v>
      </c>
      <c r="H28" s="20" t="s">
        <v>7</v>
      </c>
      <c r="I28" s="16" t="s">
        <v>7</v>
      </c>
      <c r="J28" s="20" t="s">
        <v>7</v>
      </c>
      <c r="K28" s="16" t="s">
        <v>7</v>
      </c>
      <c r="L28" s="20" t="s">
        <v>7</v>
      </c>
    </row>
    <row r="29" spans="2:12" x14ac:dyDescent="0.2">
      <c r="B29" s="1" t="s">
        <v>32</v>
      </c>
      <c r="C29" s="16">
        <v>0</v>
      </c>
      <c r="D29" s="17">
        <v>0</v>
      </c>
      <c r="E29" s="10">
        <v>17.5</v>
      </c>
      <c r="F29" s="11">
        <f>53341.2/3.9454</f>
        <v>13519.845896487048</v>
      </c>
      <c r="G29" s="10">
        <v>16.3</v>
      </c>
      <c r="H29" s="11">
        <f>41786.3/3.7775</f>
        <v>11061.892786234283</v>
      </c>
      <c r="I29" s="10">
        <v>0</v>
      </c>
      <c r="J29" s="11">
        <v>0</v>
      </c>
      <c r="K29" s="10">
        <v>0</v>
      </c>
      <c r="L29" s="11">
        <v>0</v>
      </c>
    </row>
    <row r="30" spans="2:12" x14ac:dyDescent="0.2">
      <c r="C30" s="16"/>
      <c r="D30" s="17"/>
      <c r="E30" s="10"/>
      <c r="F30" s="11"/>
      <c r="G30" s="10"/>
      <c r="H30" s="11"/>
      <c r="I30" s="10"/>
      <c r="J30" s="11"/>
      <c r="K30" s="10"/>
      <c r="L30" s="11"/>
    </row>
    <row r="31" spans="2:12" x14ac:dyDescent="0.2">
      <c r="B31" s="1" t="s">
        <v>33</v>
      </c>
      <c r="C31" s="16">
        <v>0</v>
      </c>
      <c r="D31" s="17">
        <v>0</v>
      </c>
      <c r="E31" s="10">
        <v>2.5492010000000001</v>
      </c>
      <c r="F31" s="11">
        <f>3322.851/0.904</f>
        <v>3675.7201327433627</v>
      </c>
      <c r="G31" s="10">
        <v>3.6482350000000001</v>
      </c>
      <c r="H31" s="11">
        <f>4340.517/0.87775</f>
        <v>4945.0492737111927</v>
      </c>
      <c r="I31" s="10">
        <v>15.049655</v>
      </c>
      <c r="J31" s="11">
        <f>25152.512/0.904</f>
        <v>27823.575221238934</v>
      </c>
      <c r="K31" s="10">
        <v>13.032207</v>
      </c>
      <c r="L31" s="11">
        <f>21506.63/0.87775</f>
        <v>24501.99943036172</v>
      </c>
    </row>
    <row r="32" spans="2:12" x14ac:dyDescent="0.2">
      <c r="B32" s="1" t="s">
        <v>34</v>
      </c>
      <c r="C32" s="16">
        <v>0</v>
      </c>
      <c r="D32" s="17">
        <v>0</v>
      </c>
      <c r="E32" s="10">
        <v>4</v>
      </c>
      <c r="F32" s="11">
        <v>5066</v>
      </c>
      <c r="G32" s="10">
        <v>5.7</v>
      </c>
      <c r="H32" s="11">
        <v>6262</v>
      </c>
      <c r="I32" s="10">
        <v>0</v>
      </c>
      <c r="J32" s="11">
        <v>0</v>
      </c>
      <c r="K32" s="10">
        <v>0</v>
      </c>
      <c r="L32" s="11">
        <v>0</v>
      </c>
    </row>
    <row r="33" spans="2:12" x14ac:dyDescent="0.2">
      <c r="B33" s="1" t="s">
        <v>35</v>
      </c>
      <c r="C33" s="16">
        <v>1</v>
      </c>
      <c r="D33" s="17">
        <v>1</v>
      </c>
      <c r="E33" s="10">
        <v>36.899000000000001</v>
      </c>
      <c r="F33" s="11">
        <f>25019.163/0.904</f>
        <v>27676.065265486726</v>
      </c>
      <c r="G33" s="10">
        <v>32.935000000000002</v>
      </c>
      <c r="H33" s="11">
        <f>14941.801/0.8873</f>
        <v>16839.62695818776</v>
      </c>
      <c r="I33" s="10">
        <v>15.851000000000001</v>
      </c>
      <c r="J33" s="11">
        <f>18783.515/0.904</f>
        <v>20778.224557522124</v>
      </c>
      <c r="K33" s="10">
        <v>28.611999999999998</v>
      </c>
      <c r="L33" s="11">
        <f>23336.808/0.8873</f>
        <v>26300.921897892484</v>
      </c>
    </row>
    <row r="34" spans="2:12" x14ac:dyDescent="0.2">
      <c r="B34" s="1" t="s">
        <v>36</v>
      </c>
      <c r="C34" s="16" t="s">
        <v>7</v>
      </c>
      <c r="D34" s="17" t="s">
        <v>7</v>
      </c>
      <c r="E34" s="10">
        <v>5.0025694066666668</v>
      </c>
      <c r="F34" s="11">
        <v>4808.1867719026541</v>
      </c>
      <c r="G34" s="10">
        <v>3.5813430977777778</v>
      </c>
      <c r="H34" s="11">
        <v>3708.166200721289</v>
      </c>
      <c r="I34" s="10">
        <v>44.268401804444444</v>
      </c>
      <c r="J34" s="11">
        <v>23336.518949889378</v>
      </c>
      <c r="K34" s="10">
        <v>37.418888842222216</v>
      </c>
      <c r="L34" s="11">
        <v>20907.684938239603</v>
      </c>
    </row>
    <row r="35" spans="2:12" x14ac:dyDescent="0.2">
      <c r="B35" s="1" t="s">
        <v>37</v>
      </c>
      <c r="C35" s="16" t="s">
        <v>7</v>
      </c>
      <c r="D35" s="17" t="s">
        <v>7</v>
      </c>
      <c r="E35" s="16" t="s">
        <v>7</v>
      </c>
      <c r="F35" s="20" t="s">
        <v>7</v>
      </c>
      <c r="G35" s="16" t="s">
        <v>7</v>
      </c>
      <c r="H35" s="20" t="s">
        <v>7</v>
      </c>
      <c r="I35" s="16" t="s">
        <v>7</v>
      </c>
      <c r="J35" s="20" t="s">
        <v>7</v>
      </c>
      <c r="K35" s="16" t="s">
        <v>7</v>
      </c>
      <c r="L35" s="20" t="s">
        <v>7</v>
      </c>
    </row>
    <row r="36" spans="2:12" x14ac:dyDescent="0.2">
      <c r="C36" s="16"/>
      <c r="D36" s="17"/>
      <c r="E36" s="16"/>
      <c r="F36" s="20"/>
      <c r="G36" s="16"/>
      <c r="H36" s="20"/>
      <c r="I36" s="16"/>
      <c r="J36" s="20"/>
      <c r="K36" s="16"/>
      <c r="L36" s="20"/>
    </row>
    <row r="37" spans="2:12" x14ac:dyDescent="0.2">
      <c r="B37" s="1" t="s">
        <v>38</v>
      </c>
      <c r="C37" s="18" t="s">
        <v>23</v>
      </c>
      <c r="D37" s="19" t="s">
        <v>23</v>
      </c>
      <c r="E37" s="10">
        <v>0</v>
      </c>
      <c r="F37" s="11">
        <v>0</v>
      </c>
      <c r="G37" s="10">
        <v>27.260999999999999</v>
      </c>
      <c r="H37" s="11">
        <f>349817/8.5481</f>
        <v>40923.363086533849</v>
      </c>
      <c r="I37" s="10">
        <v>0</v>
      </c>
      <c r="J37" s="11">
        <v>0</v>
      </c>
      <c r="K37" s="10">
        <v>25.864000000000001</v>
      </c>
      <c r="L37" s="11">
        <f>423021/8.5481</f>
        <v>49487.137492542206</v>
      </c>
    </row>
    <row r="38" spans="2:12" x14ac:dyDescent="0.2">
      <c r="B38" s="1" t="s">
        <v>40</v>
      </c>
      <c r="C38" s="16" t="s">
        <v>7</v>
      </c>
      <c r="D38" s="17" t="s">
        <v>7</v>
      </c>
      <c r="E38" s="16" t="s">
        <v>7</v>
      </c>
      <c r="F38" s="20" t="s">
        <v>7</v>
      </c>
      <c r="G38" s="10">
        <v>8</v>
      </c>
      <c r="H38" s="11">
        <v>16714</v>
      </c>
      <c r="I38" s="16" t="s">
        <v>7</v>
      </c>
      <c r="J38" s="20" t="s">
        <v>7</v>
      </c>
      <c r="K38" s="10">
        <v>0.7</v>
      </c>
      <c r="L38" s="11">
        <v>20078</v>
      </c>
    </row>
    <row r="39" spans="2:12" x14ac:dyDescent="0.2">
      <c r="B39" s="1" t="s">
        <v>41</v>
      </c>
      <c r="C39" s="16" t="s">
        <v>7</v>
      </c>
      <c r="D39" s="17" t="s">
        <v>7</v>
      </c>
      <c r="E39" s="10" t="s">
        <v>7</v>
      </c>
      <c r="F39" s="11" t="s">
        <v>7</v>
      </c>
      <c r="G39" s="10" t="s">
        <v>7</v>
      </c>
      <c r="H39" s="11" t="s">
        <v>7</v>
      </c>
      <c r="I39" s="10" t="s">
        <v>7</v>
      </c>
      <c r="J39" s="11" t="s">
        <v>7</v>
      </c>
      <c r="K39" s="10" t="s">
        <v>7</v>
      </c>
      <c r="L39" s="11" t="s">
        <v>7</v>
      </c>
    </row>
    <row r="40" spans="2:12" x14ac:dyDescent="0.2">
      <c r="B40" s="1" t="s">
        <v>42</v>
      </c>
      <c r="C40" s="16" t="s">
        <v>7</v>
      </c>
      <c r="D40" s="17" t="s">
        <v>7</v>
      </c>
      <c r="E40" s="10">
        <f>6.611*2</f>
        <v>13.222</v>
      </c>
      <c r="F40" s="11">
        <v>18744.299797434167</v>
      </c>
      <c r="G40" s="10">
        <f>5.866*2</f>
        <v>11.731999999999999</v>
      </c>
      <c r="H40" s="11">
        <v>14058.391914510106</v>
      </c>
      <c r="I40" s="10">
        <f>0.764*2</f>
        <v>1.528</v>
      </c>
      <c r="J40" s="11">
        <v>7867.9473328831873</v>
      </c>
      <c r="K40" s="10">
        <f>0.662*2</f>
        <v>1.3240000000000001</v>
      </c>
      <c r="L40" s="11">
        <v>6072.282734646581</v>
      </c>
    </row>
    <row r="41" spans="2:12" ht="16.5" x14ac:dyDescent="0.2">
      <c r="B41" s="2" t="s">
        <v>53</v>
      </c>
      <c r="C41" s="23" t="s">
        <v>7</v>
      </c>
      <c r="D41" s="24">
        <v>110</v>
      </c>
      <c r="E41" s="23" t="s">
        <v>7</v>
      </c>
      <c r="F41" s="25" t="s">
        <v>7</v>
      </c>
      <c r="G41" s="23" t="s">
        <v>7</v>
      </c>
      <c r="H41" s="25" t="s">
        <v>7</v>
      </c>
      <c r="I41" s="23" t="s">
        <v>7</v>
      </c>
      <c r="J41" s="25" t="s">
        <v>7</v>
      </c>
      <c r="K41" s="23" t="s">
        <v>7</v>
      </c>
      <c r="L41" s="25" t="s">
        <v>7</v>
      </c>
    </row>
    <row r="42" spans="2:12" ht="16.5" x14ac:dyDescent="0.2">
      <c r="B42" s="1" t="s">
        <v>46</v>
      </c>
    </row>
    <row r="43" spans="2:12" ht="16.5" x14ac:dyDescent="0.2">
      <c r="B43" s="1" t="s">
        <v>54</v>
      </c>
    </row>
  </sheetData>
  <mergeCells count="9">
    <mergeCell ref="E9:F9"/>
    <mergeCell ref="G9:H9"/>
    <mergeCell ref="I9:J9"/>
    <mergeCell ref="K9:L9"/>
    <mergeCell ref="C4:L4"/>
    <mergeCell ref="C6:L6"/>
    <mergeCell ref="C8:D8"/>
    <mergeCell ref="E8:H8"/>
    <mergeCell ref="I8:L8"/>
  </mergeCells>
  <pageMargins left="0.7" right="0.7" top="0.75" bottom="0.75" header="0.3" footer="0.3"/>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41"/>
  <sheetViews>
    <sheetView workbookViewId="0"/>
  </sheetViews>
  <sheetFormatPr defaultRowHeight="14.25" x14ac:dyDescent="0.2"/>
  <cols>
    <col min="1" max="1" width="9.140625" style="1"/>
    <col min="2" max="2" width="21.28515625" style="1" customWidth="1"/>
    <col min="3" max="12" width="12.7109375" style="1" customWidth="1"/>
    <col min="13" max="16384" width="9.140625" style="1"/>
  </cols>
  <sheetData>
    <row r="1" spans="2:12" ht="15" x14ac:dyDescent="0.25">
      <c r="C1" s="13"/>
    </row>
    <row r="4" spans="2:12" ht="15.75" x14ac:dyDescent="0.25">
      <c r="C4" s="30" t="s">
        <v>6</v>
      </c>
      <c r="D4" s="30"/>
      <c r="E4" s="30"/>
      <c r="F4" s="30"/>
      <c r="G4" s="30"/>
      <c r="H4" s="30"/>
      <c r="I4" s="30"/>
      <c r="J4" s="30"/>
      <c r="K4" s="30"/>
      <c r="L4" s="30"/>
    </row>
    <row r="5" spans="2:12" ht="15.75" x14ac:dyDescent="0.25">
      <c r="C5" s="7"/>
      <c r="D5" s="7"/>
      <c r="E5" s="7"/>
      <c r="F5" s="7"/>
      <c r="G5" s="7"/>
      <c r="H5" s="7"/>
      <c r="I5" s="7"/>
      <c r="J5" s="7"/>
      <c r="K5" s="7"/>
      <c r="L5" s="7"/>
    </row>
    <row r="6" spans="2:12" ht="15.75" x14ac:dyDescent="0.25">
      <c r="C6" s="30" t="s">
        <v>17</v>
      </c>
      <c r="D6" s="30"/>
      <c r="E6" s="30"/>
      <c r="F6" s="30"/>
      <c r="G6" s="30"/>
      <c r="H6" s="30"/>
      <c r="I6" s="30"/>
      <c r="J6" s="30"/>
      <c r="K6" s="30"/>
      <c r="L6" s="30"/>
    </row>
    <row r="8" spans="2:12" x14ac:dyDescent="0.2">
      <c r="C8" s="28" t="s">
        <v>0</v>
      </c>
      <c r="D8" s="31"/>
      <c r="E8" s="28" t="s">
        <v>4</v>
      </c>
      <c r="F8" s="29"/>
      <c r="G8" s="29"/>
      <c r="H8" s="29"/>
      <c r="I8" s="28" t="s">
        <v>5</v>
      </c>
      <c r="J8" s="29"/>
      <c r="K8" s="29"/>
      <c r="L8" s="29"/>
    </row>
    <row r="9" spans="2:12" ht="15" x14ac:dyDescent="0.25">
      <c r="B9"/>
      <c r="C9" s="3">
        <v>2016</v>
      </c>
      <c r="D9" s="3">
        <f>C9+1</f>
        <v>2017</v>
      </c>
      <c r="E9" s="28">
        <v>2016</v>
      </c>
      <c r="F9" s="31"/>
      <c r="G9" s="28">
        <v>2017</v>
      </c>
      <c r="H9" s="31"/>
      <c r="I9" s="28">
        <v>2016</v>
      </c>
      <c r="J9" s="31"/>
      <c r="K9" s="28">
        <v>2017</v>
      </c>
      <c r="L9" s="29"/>
    </row>
    <row r="10" spans="2:12" x14ac:dyDescent="0.2">
      <c r="B10" s="2" t="s">
        <v>1</v>
      </c>
      <c r="C10" s="12" t="s">
        <v>19</v>
      </c>
      <c r="D10" s="12" t="s">
        <v>19</v>
      </c>
      <c r="E10" s="5" t="s">
        <v>19</v>
      </c>
      <c r="F10" s="6" t="s">
        <v>9</v>
      </c>
      <c r="G10" s="5" t="s">
        <v>19</v>
      </c>
      <c r="H10" s="6" t="s">
        <v>9</v>
      </c>
      <c r="I10" s="5" t="s">
        <v>19</v>
      </c>
      <c r="J10" s="6" t="s">
        <v>9</v>
      </c>
      <c r="K10" s="5" t="s">
        <v>19</v>
      </c>
      <c r="L10" s="6" t="s">
        <v>9</v>
      </c>
    </row>
    <row r="11" spans="2:12" x14ac:dyDescent="0.2">
      <c r="B11" s="1" t="s">
        <v>2</v>
      </c>
      <c r="C11" s="14" t="s">
        <v>7</v>
      </c>
      <c r="D11" s="15" t="s">
        <v>7</v>
      </c>
      <c r="E11" s="8">
        <v>0.293022</v>
      </c>
      <c r="F11" s="9">
        <f>93922/1000</f>
        <v>93.921999999999997</v>
      </c>
      <c r="G11" s="8">
        <v>0.13231000000000001</v>
      </c>
      <c r="H11" s="9">
        <f>87151/1000</f>
        <v>87.150999999999996</v>
      </c>
      <c r="I11" s="8">
        <v>0</v>
      </c>
      <c r="J11" s="9">
        <v>0</v>
      </c>
      <c r="K11" s="8">
        <v>0</v>
      </c>
      <c r="L11" s="9">
        <v>0</v>
      </c>
    </row>
    <row r="12" spans="2:12" x14ac:dyDescent="0.2">
      <c r="B12" s="1" t="s">
        <v>18</v>
      </c>
      <c r="C12" s="16">
        <f>27.5/1000</f>
        <v>2.75E-2</v>
      </c>
      <c r="D12" s="17">
        <f>58.9/1000</f>
        <v>5.8900000000000001E-2</v>
      </c>
      <c r="E12" s="10">
        <f>366/1000</f>
        <v>0.36599999999999999</v>
      </c>
      <c r="F12" s="11">
        <v>658</v>
      </c>
      <c r="G12" s="10">
        <f>148/1000</f>
        <v>0.14799999999999999</v>
      </c>
      <c r="H12" s="11">
        <v>292</v>
      </c>
      <c r="I12" s="10">
        <v>0</v>
      </c>
      <c r="J12" s="11">
        <v>0</v>
      </c>
      <c r="K12" s="10">
        <v>0</v>
      </c>
      <c r="L12" s="11">
        <v>0</v>
      </c>
    </row>
    <row r="13" spans="2:12" x14ac:dyDescent="0.2">
      <c r="B13" s="1" t="s">
        <v>20</v>
      </c>
      <c r="C13" s="16">
        <v>0</v>
      </c>
      <c r="D13" s="17">
        <v>0.24</v>
      </c>
      <c r="E13" s="10">
        <v>0.23</v>
      </c>
      <c r="F13" s="11">
        <v>128.56</v>
      </c>
      <c r="G13" s="10">
        <v>0.23</v>
      </c>
      <c r="H13" s="11">
        <v>172.16</v>
      </c>
      <c r="I13" s="10">
        <v>0.13</v>
      </c>
      <c r="J13" s="11">
        <v>134.27000000000001</v>
      </c>
      <c r="K13" s="10">
        <v>0.21</v>
      </c>
      <c r="L13" s="11">
        <v>127.31</v>
      </c>
    </row>
    <row r="14" spans="2:12" x14ac:dyDescent="0.2">
      <c r="B14" s="1" t="s">
        <v>21</v>
      </c>
      <c r="C14" s="16" t="s">
        <v>7</v>
      </c>
      <c r="D14" s="17" t="s">
        <v>7</v>
      </c>
      <c r="E14" s="10">
        <v>1.208</v>
      </c>
      <c r="F14" s="11">
        <f>1824341/1000/1.7681</f>
        <v>1031.8087212261748</v>
      </c>
      <c r="G14" s="10">
        <v>1.794</v>
      </c>
      <c r="H14" s="11">
        <f>2731124/1000/1.7354</f>
        <v>1573.7720410280049</v>
      </c>
      <c r="I14" s="10">
        <v>2.21</v>
      </c>
      <c r="J14" s="11">
        <f>985835/1000/1.7681</f>
        <v>557.56744528024433</v>
      </c>
      <c r="K14" s="10">
        <v>2.5350000000000001</v>
      </c>
      <c r="L14" s="11">
        <f>1575332/1000/1.7354</f>
        <v>907.7630517459952</v>
      </c>
    </row>
    <row r="15" spans="2:12" x14ac:dyDescent="0.2">
      <c r="B15" s="1" t="s">
        <v>22</v>
      </c>
      <c r="C15" s="16">
        <v>585.45080419844442</v>
      </c>
      <c r="D15" s="17">
        <v>636.89307558710254</v>
      </c>
      <c r="E15" s="16" t="s">
        <v>7</v>
      </c>
      <c r="F15" s="20" t="s">
        <v>7</v>
      </c>
      <c r="G15" s="16" t="s">
        <v>7</v>
      </c>
      <c r="H15" s="20" t="s">
        <v>7</v>
      </c>
      <c r="I15" s="16" t="s">
        <v>7</v>
      </c>
      <c r="J15" s="20" t="s">
        <v>7</v>
      </c>
      <c r="K15" s="16" t="s">
        <v>7</v>
      </c>
      <c r="L15" s="20" t="s">
        <v>7</v>
      </c>
    </row>
    <row r="16" spans="2:12" x14ac:dyDescent="0.2">
      <c r="B16" s="1" t="s">
        <v>52</v>
      </c>
      <c r="C16" s="16">
        <v>0</v>
      </c>
      <c r="D16" s="17">
        <v>0</v>
      </c>
      <c r="E16" s="16">
        <v>0</v>
      </c>
      <c r="F16" s="20">
        <v>0</v>
      </c>
      <c r="G16" s="16">
        <v>1.0999999999999999E-2</v>
      </c>
      <c r="H16" s="20">
        <v>11.611207800000001</v>
      </c>
      <c r="I16" s="16">
        <v>0</v>
      </c>
      <c r="J16" s="20">
        <v>0</v>
      </c>
      <c r="K16" s="16">
        <v>0</v>
      </c>
      <c r="L16" s="20">
        <v>0</v>
      </c>
    </row>
    <row r="17" spans="2:12" x14ac:dyDescent="0.2">
      <c r="C17" s="16"/>
      <c r="D17" s="17"/>
      <c r="E17" s="16"/>
      <c r="F17" s="20"/>
      <c r="G17" s="16"/>
      <c r="H17" s="20"/>
      <c r="I17" s="16"/>
      <c r="J17" s="20"/>
      <c r="K17" s="16"/>
      <c r="L17" s="20"/>
    </row>
    <row r="18" spans="2:12" x14ac:dyDescent="0.2">
      <c r="B18" s="1" t="s">
        <v>24</v>
      </c>
      <c r="C18" s="16" t="s">
        <v>7</v>
      </c>
      <c r="D18" s="17" t="s">
        <v>7</v>
      </c>
      <c r="E18" s="10">
        <v>0.78280638000000002</v>
      </c>
      <c r="F18" s="11">
        <f>4239.75/6.8118</f>
        <v>622.41257817317012</v>
      </c>
      <c r="G18" s="10">
        <v>1.04734733</v>
      </c>
      <c r="H18" s="11">
        <f>6565.893/6.6227</f>
        <v>991.42238060005741</v>
      </c>
      <c r="I18" s="10">
        <v>5.1259040000000002</v>
      </c>
      <c r="J18" s="11">
        <f>5710.39/6.8118</f>
        <v>838.30852344461084</v>
      </c>
      <c r="K18" s="10">
        <v>4.7463755000000001</v>
      </c>
      <c r="L18" s="11">
        <f>5436.89/6.6227</f>
        <v>820.94764975010196</v>
      </c>
    </row>
    <row r="19" spans="2:12" x14ac:dyDescent="0.2">
      <c r="B19" s="1" t="s">
        <v>25</v>
      </c>
      <c r="C19" s="16" t="s">
        <v>7</v>
      </c>
      <c r="D19" s="17" t="s">
        <v>7</v>
      </c>
      <c r="E19" s="16" t="s">
        <v>7</v>
      </c>
      <c r="F19" s="20" t="s">
        <v>7</v>
      </c>
      <c r="G19" s="16" t="s">
        <v>7</v>
      </c>
      <c r="H19" s="20" t="s">
        <v>7</v>
      </c>
      <c r="I19" s="16" t="s">
        <v>7</v>
      </c>
      <c r="J19" s="20" t="s">
        <v>7</v>
      </c>
      <c r="K19" s="16" t="s">
        <v>7</v>
      </c>
      <c r="L19" s="20" t="s">
        <v>7</v>
      </c>
    </row>
    <row r="20" spans="2:12" x14ac:dyDescent="0.2">
      <c r="B20" s="1" t="s">
        <v>26</v>
      </c>
      <c r="C20" s="16" t="s">
        <v>7</v>
      </c>
      <c r="D20" s="17" t="s">
        <v>7</v>
      </c>
      <c r="E20" s="10">
        <v>20.422999999999998</v>
      </c>
      <c r="F20" s="11">
        <f>26128.004/0.904</f>
        <v>28902.659292035398</v>
      </c>
      <c r="G20" s="10">
        <v>21.437999999999999</v>
      </c>
      <c r="H20" s="11">
        <f>25271.553/0.8873</f>
        <v>28481.40764115857</v>
      </c>
      <c r="I20" s="10">
        <v>4.0199999999999996</v>
      </c>
      <c r="J20" s="11">
        <f>3856.07/0.904</f>
        <v>4265.5641592920356</v>
      </c>
      <c r="K20" s="10">
        <v>5.48</v>
      </c>
      <c r="L20" s="11">
        <f>4630.331/0.8873</f>
        <v>5218.4503550095797</v>
      </c>
    </row>
    <row r="21" spans="2:12" x14ac:dyDescent="0.2">
      <c r="B21" s="1" t="s">
        <v>27</v>
      </c>
      <c r="C21" s="16" t="s">
        <v>7</v>
      </c>
      <c r="D21" s="17" t="s">
        <v>7</v>
      </c>
      <c r="E21" s="16" t="s">
        <v>7</v>
      </c>
      <c r="F21" s="20" t="s">
        <v>7</v>
      </c>
      <c r="G21" s="16" t="s">
        <v>7</v>
      </c>
      <c r="H21" s="20" t="s">
        <v>7</v>
      </c>
      <c r="I21" s="16" t="s">
        <v>7</v>
      </c>
      <c r="J21" s="20" t="s">
        <v>7</v>
      </c>
      <c r="K21" s="16" t="s">
        <v>7</v>
      </c>
      <c r="L21" s="20" t="s">
        <v>7</v>
      </c>
    </row>
    <row r="22" spans="2:12" x14ac:dyDescent="0.2">
      <c r="B22" s="1" t="s">
        <v>47</v>
      </c>
      <c r="C22" s="16" t="s">
        <v>7</v>
      </c>
      <c r="D22" s="17" t="s">
        <v>7</v>
      </c>
      <c r="E22" s="16">
        <v>0</v>
      </c>
      <c r="F22" s="20">
        <f>3874100/120.8/1000</f>
        <v>32.070364238410598</v>
      </c>
      <c r="G22" s="16">
        <v>0.1</v>
      </c>
      <c r="H22" s="20">
        <f>32765348/106.8/1000</f>
        <v>306.79164794007488</v>
      </c>
      <c r="I22" s="16">
        <v>0</v>
      </c>
      <c r="J22" s="20">
        <v>0</v>
      </c>
      <c r="K22" s="16">
        <v>0</v>
      </c>
      <c r="L22" s="20">
        <v>0</v>
      </c>
    </row>
    <row r="23" spans="2:12" x14ac:dyDescent="0.2">
      <c r="B23" s="1" t="s">
        <v>28</v>
      </c>
      <c r="C23" s="16" t="s">
        <v>7</v>
      </c>
      <c r="D23" s="17" t="s">
        <v>7</v>
      </c>
      <c r="E23" s="16" t="s">
        <v>7</v>
      </c>
      <c r="F23" s="20" t="s">
        <v>7</v>
      </c>
      <c r="G23" s="16" t="s">
        <v>7</v>
      </c>
      <c r="H23" s="20" t="s">
        <v>7</v>
      </c>
      <c r="I23" s="16" t="s">
        <v>7</v>
      </c>
      <c r="J23" s="20" t="s">
        <v>7</v>
      </c>
      <c r="K23" s="16" t="s">
        <v>7</v>
      </c>
      <c r="L23" s="20" t="s">
        <v>7</v>
      </c>
    </row>
    <row r="24" spans="2:12" x14ac:dyDescent="0.2">
      <c r="C24" s="16"/>
      <c r="D24" s="17"/>
      <c r="E24" s="16"/>
      <c r="F24" s="20"/>
      <c r="G24" s="16"/>
      <c r="H24" s="20"/>
      <c r="I24" s="16"/>
      <c r="J24" s="20"/>
      <c r="K24" s="16"/>
      <c r="L24" s="20"/>
    </row>
    <row r="25" spans="2:12" x14ac:dyDescent="0.2">
      <c r="B25" s="1" t="s">
        <v>29</v>
      </c>
      <c r="C25" s="16">
        <f>82/222</f>
        <v>0.36936936936936937</v>
      </c>
      <c r="D25" s="17">
        <f>72/222</f>
        <v>0.32432432432432434</v>
      </c>
      <c r="E25" s="16">
        <v>0</v>
      </c>
      <c r="F25" s="20">
        <v>0</v>
      </c>
      <c r="G25" s="16">
        <v>0</v>
      </c>
      <c r="H25" s="20">
        <v>0</v>
      </c>
      <c r="I25" s="16">
        <v>0</v>
      </c>
      <c r="J25" s="20">
        <v>0</v>
      </c>
      <c r="K25" s="16">
        <v>0</v>
      </c>
      <c r="L25" s="20">
        <v>0</v>
      </c>
    </row>
    <row r="26" spans="2:12" x14ac:dyDescent="0.2">
      <c r="B26" s="1" t="s">
        <v>30</v>
      </c>
      <c r="C26" s="16" t="s">
        <v>7</v>
      </c>
      <c r="D26" s="17" t="s">
        <v>7</v>
      </c>
      <c r="E26" s="10">
        <v>4.0000000000000001E-3</v>
      </c>
      <c r="F26" s="11">
        <f>4728/1000*0.904</f>
        <v>4.2741119999999997</v>
      </c>
      <c r="G26" s="10">
        <v>6.9000000000000006E-2</v>
      </c>
      <c r="H26" s="11">
        <f>170471/1000/0.8873</f>
        <v>192.12329539051055</v>
      </c>
      <c r="I26" s="10">
        <v>2.9999999999999997E-4</v>
      </c>
      <c r="J26" s="11">
        <f>545/1000/0.904</f>
        <v>0.60287610619469034</v>
      </c>
      <c r="K26" s="10">
        <v>0</v>
      </c>
      <c r="L26" s="11">
        <v>0</v>
      </c>
    </row>
    <row r="27" spans="2:12" x14ac:dyDescent="0.2">
      <c r="B27" s="1" t="s">
        <v>31</v>
      </c>
      <c r="C27" s="16" t="s">
        <v>7</v>
      </c>
      <c r="D27" s="17" t="s">
        <v>7</v>
      </c>
      <c r="E27" s="16" t="s">
        <v>7</v>
      </c>
      <c r="F27" s="20" t="s">
        <v>7</v>
      </c>
      <c r="G27" s="16" t="s">
        <v>7</v>
      </c>
      <c r="H27" s="20" t="s">
        <v>7</v>
      </c>
      <c r="I27" s="16" t="s">
        <v>7</v>
      </c>
      <c r="J27" s="20" t="s">
        <v>7</v>
      </c>
      <c r="K27" s="16" t="s">
        <v>7</v>
      </c>
      <c r="L27" s="20" t="s">
        <v>7</v>
      </c>
    </row>
    <row r="28" spans="2:12" x14ac:dyDescent="0.2">
      <c r="B28" s="1" t="s">
        <v>39</v>
      </c>
      <c r="C28" s="16" t="s">
        <v>7</v>
      </c>
      <c r="D28" s="17" t="s">
        <v>7</v>
      </c>
      <c r="E28" s="16" t="s">
        <v>7</v>
      </c>
      <c r="F28" s="20" t="s">
        <v>7</v>
      </c>
      <c r="G28" s="16" t="s">
        <v>7</v>
      </c>
      <c r="H28" s="20" t="s">
        <v>7</v>
      </c>
      <c r="I28" s="16" t="s">
        <v>7</v>
      </c>
      <c r="J28" s="20" t="s">
        <v>7</v>
      </c>
      <c r="K28" s="16" t="s">
        <v>7</v>
      </c>
      <c r="L28" s="20" t="s">
        <v>7</v>
      </c>
    </row>
    <row r="29" spans="2:12" x14ac:dyDescent="0.2">
      <c r="B29" s="1" t="s">
        <v>32</v>
      </c>
      <c r="C29" s="16">
        <v>233</v>
      </c>
      <c r="D29" s="17">
        <v>239</v>
      </c>
      <c r="E29" s="10">
        <v>1.8</v>
      </c>
      <c r="F29" s="11">
        <f>6653.1/3.9454</f>
        <v>1686.2928980584986</v>
      </c>
      <c r="G29" s="10">
        <v>2.2000000000000002</v>
      </c>
      <c r="H29" s="11">
        <f>7722.9/3.7775</f>
        <v>2044.4473858371939</v>
      </c>
      <c r="I29" s="10">
        <v>4.5</v>
      </c>
      <c r="J29" s="11">
        <f>6339.5/3.9454</f>
        <v>1606.8079282202059</v>
      </c>
      <c r="K29" s="10">
        <v>38.1</v>
      </c>
      <c r="L29" s="11">
        <f>137447.5/3.7775</f>
        <v>36385.83719391132</v>
      </c>
    </row>
    <row r="30" spans="2:12" x14ac:dyDescent="0.2">
      <c r="C30" s="16"/>
      <c r="D30" s="17"/>
      <c r="E30" s="10"/>
      <c r="F30" s="11"/>
      <c r="G30" s="10"/>
      <c r="H30" s="11"/>
      <c r="I30" s="10"/>
      <c r="J30" s="11"/>
      <c r="K30" s="10"/>
      <c r="L30" s="11"/>
    </row>
    <row r="31" spans="2:12" x14ac:dyDescent="0.2">
      <c r="B31" s="1" t="s">
        <v>33</v>
      </c>
      <c r="C31" s="16">
        <v>78.069000000000003</v>
      </c>
      <c r="D31" s="17">
        <v>110.62</v>
      </c>
      <c r="E31" s="10">
        <v>12.136184</v>
      </c>
      <c r="F31" s="11">
        <f>9267.812/0.904</f>
        <v>10252.004424778761</v>
      </c>
      <c r="G31" s="10">
        <v>15.156616</v>
      </c>
      <c r="H31" s="11">
        <f>10882.976/0.87775</f>
        <v>12398.719453147252</v>
      </c>
      <c r="I31" s="10">
        <v>0.63665400000000005</v>
      </c>
      <c r="J31" s="11">
        <f>641.046/0.904</f>
        <v>709.12168141592929</v>
      </c>
      <c r="K31" s="10">
        <v>0.34127999999999997</v>
      </c>
      <c r="L31" s="11">
        <f>477.133/0.87775</f>
        <v>543.58644260894323</v>
      </c>
    </row>
    <row r="32" spans="2:12" x14ac:dyDescent="0.2">
      <c r="B32" s="1" t="s">
        <v>34</v>
      </c>
      <c r="C32" s="16">
        <v>0</v>
      </c>
      <c r="D32" s="17">
        <v>0</v>
      </c>
      <c r="E32" s="10">
        <v>7.0000000000000007E-2</v>
      </c>
      <c r="F32" s="11">
        <v>46</v>
      </c>
      <c r="G32" s="10">
        <v>0.09</v>
      </c>
      <c r="H32" s="11">
        <v>49</v>
      </c>
      <c r="I32" s="10">
        <v>0.12</v>
      </c>
      <c r="J32" s="11">
        <v>56</v>
      </c>
      <c r="K32" s="10">
        <v>2.1</v>
      </c>
      <c r="L32" s="11">
        <v>820</v>
      </c>
    </row>
    <row r="33" spans="2:12" x14ac:dyDescent="0.2">
      <c r="B33" s="1" t="s">
        <v>35</v>
      </c>
      <c r="C33" s="16">
        <v>10</v>
      </c>
      <c r="D33" s="17">
        <v>10</v>
      </c>
      <c r="E33" s="10">
        <v>0.183</v>
      </c>
      <c r="F33" s="11">
        <f>201.544/0.904</f>
        <v>222.94690265486727</v>
      </c>
      <c r="G33" s="10">
        <v>0.53500000000000003</v>
      </c>
      <c r="H33" s="11">
        <f>407.689/0.8873</f>
        <v>459.47143018144936</v>
      </c>
      <c r="I33" s="10">
        <v>7.8220000000000001</v>
      </c>
      <c r="J33" s="11">
        <f>8207.856/0.904</f>
        <v>9079.4867256637172</v>
      </c>
      <c r="K33" s="10">
        <v>8.4979999999999993</v>
      </c>
      <c r="L33" s="11">
        <f>8758.892/0.8873</f>
        <v>9871.3986250422622</v>
      </c>
    </row>
    <row r="34" spans="2:12" x14ac:dyDescent="0.2">
      <c r="B34" s="1" t="s">
        <v>36</v>
      </c>
      <c r="C34" s="16" t="s">
        <v>7</v>
      </c>
      <c r="D34" s="17" t="s">
        <v>7</v>
      </c>
      <c r="E34" s="10">
        <v>0.41520578000000002</v>
      </c>
      <c r="F34" s="11">
        <v>393.50180309734515</v>
      </c>
      <c r="G34" s="10">
        <v>1.07410212</v>
      </c>
      <c r="H34" s="11">
        <v>944.64042601149549</v>
      </c>
      <c r="I34" s="10">
        <v>2.0921797500000001</v>
      </c>
      <c r="J34" s="11">
        <v>2290.9744690265484</v>
      </c>
      <c r="K34" s="10">
        <v>1.2500793600000002</v>
      </c>
      <c r="L34" s="11">
        <v>990.74304068522497</v>
      </c>
    </row>
    <row r="35" spans="2:12" x14ac:dyDescent="0.2">
      <c r="B35" s="1" t="s">
        <v>37</v>
      </c>
      <c r="C35" s="16" t="s">
        <v>7</v>
      </c>
      <c r="D35" s="17" t="s">
        <v>7</v>
      </c>
      <c r="E35" s="16" t="s">
        <v>7</v>
      </c>
      <c r="F35" s="20" t="s">
        <v>7</v>
      </c>
      <c r="G35" s="16" t="s">
        <v>7</v>
      </c>
      <c r="H35" s="20" t="s">
        <v>7</v>
      </c>
      <c r="I35" s="16" t="s">
        <v>7</v>
      </c>
      <c r="J35" s="20" t="s">
        <v>7</v>
      </c>
      <c r="K35" s="16" t="s">
        <v>7</v>
      </c>
      <c r="L35" s="20" t="s">
        <v>7</v>
      </c>
    </row>
    <row r="36" spans="2:12" x14ac:dyDescent="0.2">
      <c r="C36" s="16"/>
      <c r="D36" s="17"/>
      <c r="E36" s="16"/>
      <c r="F36" s="20"/>
      <c r="G36" s="16"/>
      <c r="H36" s="20"/>
      <c r="I36" s="16"/>
      <c r="J36" s="20"/>
      <c r="K36" s="16"/>
      <c r="L36" s="20"/>
    </row>
    <row r="37" spans="2:12" x14ac:dyDescent="0.2">
      <c r="B37" s="1" t="s">
        <v>38</v>
      </c>
      <c r="C37" s="18" t="s">
        <v>23</v>
      </c>
      <c r="D37" s="19" t="s">
        <v>23</v>
      </c>
      <c r="E37" s="10">
        <v>2.9910000000000001</v>
      </c>
      <c r="F37" s="11">
        <f>17474/8.561</f>
        <v>2041.1166919752366</v>
      </c>
      <c r="G37" s="10">
        <v>2.5299999999999998</v>
      </c>
      <c r="H37" s="11">
        <f>20214/8.5481</f>
        <v>2364.7360232098363</v>
      </c>
      <c r="I37" s="10">
        <v>11.667999999999999</v>
      </c>
      <c r="J37" s="11">
        <f>76674/8.561</f>
        <v>8956.1967059922899</v>
      </c>
      <c r="K37" s="10">
        <v>15.401</v>
      </c>
      <c r="L37" s="11">
        <f>104810/8.5481</f>
        <v>12261.204244218014</v>
      </c>
    </row>
    <row r="38" spans="2:12" x14ac:dyDescent="0.2">
      <c r="B38" s="1" t="s">
        <v>40</v>
      </c>
      <c r="C38" s="16" t="s">
        <v>7</v>
      </c>
      <c r="D38" s="17" t="s">
        <v>7</v>
      </c>
      <c r="E38" s="10">
        <v>2</v>
      </c>
      <c r="F38" s="11">
        <v>2626</v>
      </c>
      <c r="G38" s="10">
        <f>1931/1000</f>
        <v>1.931</v>
      </c>
      <c r="H38" s="11">
        <v>3133</v>
      </c>
      <c r="I38" s="10">
        <f>5351/1000</f>
        <v>5.351</v>
      </c>
      <c r="J38" s="11">
        <v>5666</v>
      </c>
      <c r="K38" s="10">
        <f>3525/1000</f>
        <v>3.5249999999999999</v>
      </c>
      <c r="L38" s="11">
        <v>3607</v>
      </c>
    </row>
    <row r="39" spans="2:12" x14ac:dyDescent="0.2">
      <c r="B39" s="1" t="s">
        <v>41</v>
      </c>
      <c r="C39" s="16" t="s">
        <v>7</v>
      </c>
      <c r="D39" s="17" t="s">
        <v>7</v>
      </c>
      <c r="E39" s="10">
        <v>4.5999999999999996</v>
      </c>
      <c r="F39" s="11">
        <v>5260.8</v>
      </c>
      <c r="G39" s="10">
        <v>5.6</v>
      </c>
      <c r="H39" s="11">
        <v>5915.7</v>
      </c>
      <c r="I39" s="10">
        <v>2.2999999999999998</v>
      </c>
      <c r="J39" s="11">
        <v>932.5</v>
      </c>
      <c r="K39" s="10">
        <v>8.6999999999999993</v>
      </c>
      <c r="L39" s="11">
        <v>1263.4000000000001</v>
      </c>
    </row>
    <row r="40" spans="2:12" x14ac:dyDescent="0.2">
      <c r="B40" s="1" t="s">
        <v>42</v>
      </c>
      <c r="C40" s="16" t="s">
        <v>7</v>
      </c>
      <c r="D40" s="17" t="s">
        <v>7</v>
      </c>
      <c r="E40" s="10">
        <f>5.991*1.68</f>
        <v>10.064879999999999</v>
      </c>
      <c r="F40" s="11">
        <v>5327.3571910871033</v>
      </c>
      <c r="G40" s="10">
        <f>29.429*1.68</f>
        <v>49.440719999999999</v>
      </c>
      <c r="H40" s="11">
        <v>25426.396292004632</v>
      </c>
      <c r="I40" s="10">
        <f>1.486*1.68</f>
        <v>2.49648</v>
      </c>
      <c r="J40" s="11">
        <v>2407.1573261309927</v>
      </c>
      <c r="K40" s="10">
        <f>8.514*1.68</f>
        <v>14.303519999999999</v>
      </c>
      <c r="L40" s="11">
        <v>7488.9764387794512</v>
      </c>
    </row>
    <row r="41" spans="2:12" x14ac:dyDescent="0.2">
      <c r="B41" s="2" t="s">
        <v>43</v>
      </c>
      <c r="C41" s="23">
        <v>721</v>
      </c>
      <c r="D41" s="24">
        <v>776</v>
      </c>
      <c r="E41" s="23" t="s">
        <v>7</v>
      </c>
      <c r="F41" s="25" t="s">
        <v>7</v>
      </c>
      <c r="G41" s="23" t="s">
        <v>7</v>
      </c>
      <c r="H41" s="25" t="s">
        <v>7</v>
      </c>
      <c r="I41" s="23" t="s">
        <v>7</v>
      </c>
      <c r="J41" s="25" t="s">
        <v>7</v>
      </c>
      <c r="K41" s="23" t="s">
        <v>7</v>
      </c>
      <c r="L41" s="25" t="s">
        <v>7</v>
      </c>
    </row>
  </sheetData>
  <mergeCells count="9">
    <mergeCell ref="E9:F9"/>
    <mergeCell ref="G9:H9"/>
    <mergeCell ref="I9:J9"/>
    <mergeCell ref="K9:L9"/>
    <mergeCell ref="C4:L4"/>
    <mergeCell ref="C6:L6"/>
    <mergeCell ref="C8:D8"/>
    <mergeCell ref="E8:H8"/>
    <mergeCell ref="I8:L8"/>
  </mergeCells>
  <pageMargins left="0.7" right="0.7" top="0.75" bottom="0.75" header="0.3" footer="0.3"/>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L41"/>
  <sheetViews>
    <sheetView workbookViewId="0"/>
  </sheetViews>
  <sheetFormatPr defaultRowHeight="14.25" x14ac:dyDescent="0.2"/>
  <cols>
    <col min="1" max="1" width="9.140625" style="1"/>
    <col min="2" max="2" width="21.28515625" style="1" customWidth="1"/>
    <col min="3" max="12" width="12.7109375" style="1" customWidth="1"/>
    <col min="13" max="16384" width="9.140625" style="1"/>
  </cols>
  <sheetData>
    <row r="1" spans="2:12" ht="15" x14ac:dyDescent="0.25">
      <c r="C1" s="13"/>
    </row>
    <row r="4" spans="2:12" ht="15.75" x14ac:dyDescent="0.25">
      <c r="C4" s="30" t="s">
        <v>6</v>
      </c>
      <c r="D4" s="30"/>
      <c r="E4" s="30"/>
      <c r="F4" s="30"/>
      <c r="G4" s="30"/>
      <c r="H4" s="30"/>
      <c r="I4" s="30"/>
      <c r="J4" s="30"/>
      <c r="K4" s="30"/>
      <c r="L4" s="30"/>
    </row>
    <row r="5" spans="2:12" ht="15.75" x14ac:dyDescent="0.25">
      <c r="C5" s="7"/>
      <c r="D5" s="7"/>
      <c r="E5" s="7"/>
      <c r="F5" s="7"/>
      <c r="G5" s="7"/>
      <c r="H5" s="7"/>
      <c r="I5" s="7"/>
      <c r="J5" s="7"/>
      <c r="K5" s="7"/>
      <c r="L5" s="7"/>
    </row>
    <row r="6" spans="2:12" ht="15.75" x14ac:dyDescent="0.25">
      <c r="C6" s="30" t="s">
        <v>51</v>
      </c>
      <c r="D6" s="30"/>
      <c r="E6" s="30"/>
      <c r="F6" s="30"/>
      <c r="G6" s="30"/>
      <c r="H6" s="30"/>
      <c r="I6" s="30"/>
      <c r="J6" s="30"/>
      <c r="K6" s="30"/>
      <c r="L6" s="30"/>
    </row>
    <row r="8" spans="2:12" x14ac:dyDescent="0.2">
      <c r="C8" s="28" t="s">
        <v>0</v>
      </c>
      <c r="D8" s="31"/>
      <c r="E8" s="28" t="s">
        <v>4</v>
      </c>
      <c r="F8" s="29"/>
      <c r="G8" s="29"/>
      <c r="H8" s="29"/>
      <c r="I8" s="28" t="s">
        <v>5</v>
      </c>
      <c r="J8" s="29"/>
      <c r="K8" s="29"/>
      <c r="L8" s="29"/>
    </row>
    <row r="9" spans="2:12" ht="15" x14ac:dyDescent="0.25">
      <c r="B9"/>
      <c r="C9" s="3">
        <v>2016</v>
      </c>
      <c r="D9" s="3">
        <f>C9+1</f>
        <v>2017</v>
      </c>
      <c r="E9" s="28">
        <v>2016</v>
      </c>
      <c r="F9" s="31"/>
      <c r="G9" s="28">
        <v>2017</v>
      </c>
      <c r="H9" s="31"/>
      <c r="I9" s="28">
        <v>2016</v>
      </c>
      <c r="J9" s="31"/>
      <c r="K9" s="28">
        <v>2017</v>
      </c>
      <c r="L9" s="29"/>
    </row>
    <row r="10" spans="2:12" x14ac:dyDescent="0.2">
      <c r="B10" s="2" t="s">
        <v>1</v>
      </c>
      <c r="C10" s="4" t="s">
        <v>8</v>
      </c>
      <c r="D10" s="4" t="s">
        <v>8</v>
      </c>
      <c r="E10" s="5" t="s">
        <v>8</v>
      </c>
      <c r="F10" s="6" t="s">
        <v>9</v>
      </c>
      <c r="G10" s="5" t="s">
        <v>8</v>
      </c>
      <c r="H10" s="6" t="s">
        <v>9</v>
      </c>
      <c r="I10" s="5" t="s">
        <v>8</v>
      </c>
      <c r="J10" s="6" t="s">
        <v>9</v>
      </c>
      <c r="K10" s="5" t="s">
        <v>8</v>
      </c>
      <c r="L10" s="6" t="s">
        <v>9</v>
      </c>
    </row>
    <row r="11" spans="2:12" x14ac:dyDescent="0.2">
      <c r="B11" s="1" t="s">
        <v>2</v>
      </c>
      <c r="C11" s="14" t="s">
        <v>7</v>
      </c>
      <c r="D11" s="15" t="s">
        <v>7</v>
      </c>
      <c r="E11" s="8">
        <v>0.1295</v>
      </c>
      <c r="F11" s="9">
        <f>36694/1000</f>
        <v>36.694000000000003</v>
      </c>
      <c r="G11" s="8">
        <v>137.23319000000001</v>
      </c>
      <c r="H11" s="9">
        <f>518674/1000</f>
        <v>518.67399999999998</v>
      </c>
      <c r="I11" s="8">
        <v>0</v>
      </c>
      <c r="J11" s="9">
        <v>0</v>
      </c>
      <c r="K11" s="8">
        <v>0</v>
      </c>
      <c r="L11" s="9">
        <v>0</v>
      </c>
    </row>
    <row r="12" spans="2:12" x14ac:dyDescent="0.2">
      <c r="B12" s="1" t="s">
        <v>18</v>
      </c>
      <c r="C12" s="16">
        <v>0</v>
      </c>
      <c r="D12" s="17">
        <v>0</v>
      </c>
      <c r="E12" s="10">
        <f>476/1000</f>
        <v>0.47599999999999998</v>
      </c>
      <c r="F12" s="11">
        <v>396</v>
      </c>
      <c r="G12" s="10">
        <f>423/1000</f>
        <v>0.42299999999999999</v>
      </c>
      <c r="H12" s="11">
        <v>456</v>
      </c>
      <c r="I12" s="10">
        <v>0</v>
      </c>
      <c r="J12" s="11">
        <v>0</v>
      </c>
      <c r="K12" s="10">
        <f>57/1000</f>
        <v>5.7000000000000002E-2</v>
      </c>
      <c r="L12" s="11">
        <v>36</v>
      </c>
    </row>
    <row r="13" spans="2:12" x14ac:dyDescent="0.2">
      <c r="B13" s="1" t="s">
        <v>20</v>
      </c>
      <c r="C13" s="16">
        <v>16.3</v>
      </c>
      <c r="D13" s="17">
        <v>27.62</v>
      </c>
      <c r="E13" s="10">
        <v>1.05</v>
      </c>
      <c r="F13" s="11">
        <v>962.91</v>
      </c>
      <c r="G13" s="10">
        <v>0.46</v>
      </c>
      <c r="H13" s="11">
        <v>656.22</v>
      </c>
      <c r="I13" s="10">
        <v>15.95</v>
      </c>
      <c r="J13" s="11">
        <v>20680.580000000002</v>
      </c>
      <c r="K13" s="10">
        <v>15.77</v>
      </c>
      <c r="L13" s="11">
        <v>21040.959999999999</v>
      </c>
    </row>
    <row r="14" spans="2:12" x14ac:dyDescent="0.2">
      <c r="B14" s="1" t="s">
        <v>21</v>
      </c>
      <c r="C14" s="16">
        <v>70</v>
      </c>
      <c r="D14" s="17">
        <v>70</v>
      </c>
      <c r="E14" s="10">
        <v>7.3949999999999996</v>
      </c>
      <c r="F14" s="11">
        <f>6100833/1000/1.7681</f>
        <v>3450.5022340365363</v>
      </c>
      <c r="G14" s="10">
        <v>53.625</v>
      </c>
      <c r="H14" s="11">
        <f>30531157/1000/1.7354</f>
        <v>17593.152587299755</v>
      </c>
      <c r="I14" s="10">
        <v>18.015999999999998</v>
      </c>
      <c r="J14" s="11">
        <f>12288472/1000/1.7681</f>
        <v>6950.1001074599853</v>
      </c>
      <c r="K14" s="10">
        <v>54.881999999999998</v>
      </c>
      <c r="L14" s="11">
        <f>42041853/1000/1.7354</f>
        <v>24226.030310014983</v>
      </c>
    </row>
    <row r="15" spans="2:12" x14ac:dyDescent="0.2">
      <c r="B15" s="1" t="s">
        <v>22</v>
      </c>
      <c r="C15" s="16">
        <v>14.15842331797931</v>
      </c>
      <c r="D15" s="17">
        <v>17.698029147474134</v>
      </c>
      <c r="E15" s="16" t="s">
        <v>7</v>
      </c>
      <c r="F15" s="20" t="s">
        <v>7</v>
      </c>
      <c r="G15" s="16" t="s">
        <v>7</v>
      </c>
      <c r="H15" s="20" t="s">
        <v>7</v>
      </c>
      <c r="I15" s="16" t="s">
        <v>7</v>
      </c>
      <c r="J15" s="20" t="s">
        <v>7</v>
      </c>
      <c r="K15" s="16" t="s">
        <v>7</v>
      </c>
      <c r="L15" s="20" t="s">
        <v>7</v>
      </c>
    </row>
    <row r="16" spans="2:12" x14ac:dyDescent="0.2">
      <c r="B16" s="1" t="s">
        <v>52</v>
      </c>
      <c r="C16" s="16">
        <v>0</v>
      </c>
      <c r="D16" s="17">
        <v>0</v>
      </c>
      <c r="E16" s="16">
        <v>1.0049999999999999</v>
      </c>
      <c r="F16" s="20">
        <v>221.30733599999999</v>
      </c>
      <c r="G16" s="16">
        <v>1.1679999999999999</v>
      </c>
      <c r="H16" s="20">
        <v>103.13975199999999</v>
      </c>
      <c r="I16" s="16">
        <v>0</v>
      </c>
      <c r="J16" s="20">
        <v>0</v>
      </c>
      <c r="K16" s="16">
        <v>0</v>
      </c>
      <c r="L16" s="20">
        <v>0</v>
      </c>
    </row>
    <row r="17" spans="2:12" x14ac:dyDescent="0.2">
      <c r="C17" s="16"/>
      <c r="D17" s="17"/>
      <c r="E17" s="16"/>
      <c r="F17" s="20"/>
      <c r="G17" s="16"/>
      <c r="H17" s="20"/>
      <c r="I17" s="16"/>
      <c r="J17" s="20"/>
      <c r="K17" s="16"/>
      <c r="L17" s="20"/>
    </row>
    <row r="18" spans="2:12" x14ac:dyDescent="0.2">
      <c r="B18" s="1" t="s">
        <v>24</v>
      </c>
      <c r="C18" s="16" t="s">
        <v>7</v>
      </c>
      <c r="D18" s="17" t="s">
        <v>7</v>
      </c>
      <c r="E18" s="16" t="s">
        <v>7</v>
      </c>
      <c r="F18" s="20" t="s">
        <v>7</v>
      </c>
      <c r="G18" s="16" t="s">
        <v>7</v>
      </c>
      <c r="H18" s="20" t="s">
        <v>7</v>
      </c>
      <c r="I18" s="16" t="s">
        <v>7</v>
      </c>
      <c r="J18" s="20" t="s">
        <v>7</v>
      </c>
      <c r="K18" s="16" t="s">
        <v>7</v>
      </c>
      <c r="L18" s="20" t="s">
        <v>7</v>
      </c>
    </row>
    <row r="19" spans="2:12" x14ac:dyDescent="0.2">
      <c r="B19" s="1" t="s">
        <v>25</v>
      </c>
      <c r="C19" s="18" t="s">
        <v>23</v>
      </c>
      <c r="D19" s="19" t="s">
        <v>23</v>
      </c>
      <c r="E19" s="16" t="s">
        <v>7</v>
      </c>
      <c r="F19" s="20" t="s">
        <v>7</v>
      </c>
      <c r="G19" s="16" t="s">
        <v>7</v>
      </c>
      <c r="H19" s="20" t="s">
        <v>7</v>
      </c>
      <c r="I19" s="16" t="s">
        <v>7</v>
      </c>
      <c r="J19" s="20" t="s">
        <v>7</v>
      </c>
      <c r="K19" s="16" t="s">
        <v>7</v>
      </c>
      <c r="L19" s="20" t="s">
        <v>7</v>
      </c>
    </row>
    <row r="20" spans="2:12" x14ac:dyDescent="0.2">
      <c r="B20" s="1" t="s">
        <v>26</v>
      </c>
      <c r="C20" s="16" t="s">
        <v>7</v>
      </c>
      <c r="D20" s="17"/>
      <c r="E20" s="10">
        <v>16.559999999999999</v>
      </c>
      <c r="F20" s="11">
        <f>30575.838/0.904</f>
        <v>33822.829646017701</v>
      </c>
      <c r="G20" s="10">
        <v>19.100000000000001</v>
      </c>
      <c r="H20" s="11">
        <f>33487.463/0.8873</f>
        <v>37740.857658063796</v>
      </c>
      <c r="I20" s="10">
        <v>59.49</v>
      </c>
      <c r="J20" s="11">
        <f>36076.118/0.904</f>
        <v>39907.210176991153</v>
      </c>
      <c r="K20" s="10">
        <v>48.5</v>
      </c>
      <c r="L20" s="11">
        <f>25790.602/0.8873</f>
        <v>29066.383410345992</v>
      </c>
    </row>
    <row r="21" spans="2:12" x14ac:dyDescent="0.2">
      <c r="B21" s="1" t="s">
        <v>27</v>
      </c>
      <c r="C21" s="16" t="s">
        <v>7</v>
      </c>
      <c r="D21" s="17" t="s">
        <v>7</v>
      </c>
      <c r="E21" s="16" t="s">
        <v>7</v>
      </c>
      <c r="F21" s="20" t="s">
        <v>7</v>
      </c>
      <c r="G21" s="16" t="s">
        <v>7</v>
      </c>
      <c r="H21" s="20" t="s">
        <v>7</v>
      </c>
      <c r="I21" s="16" t="s">
        <v>7</v>
      </c>
      <c r="J21" s="20" t="s">
        <v>7</v>
      </c>
      <c r="K21" s="16" t="s">
        <v>7</v>
      </c>
      <c r="L21" s="20" t="s">
        <v>7</v>
      </c>
    </row>
    <row r="22" spans="2:12" x14ac:dyDescent="0.2">
      <c r="B22" s="1" t="s">
        <v>47</v>
      </c>
      <c r="C22" s="16" t="s">
        <v>7</v>
      </c>
      <c r="D22" s="17" t="s">
        <v>7</v>
      </c>
      <c r="E22" s="16">
        <v>2</v>
      </c>
      <c r="F22" s="20">
        <f>284798700/120.8/1000</f>
        <v>2357.605132450331</v>
      </c>
      <c r="G22" s="16">
        <v>1</v>
      </c>
      <c r="H22" s="20">
        <f>92998036/106.8/1000</f>
        <v>870.76812734082398</v>
      </c>
      <c r="I22" s="16">
        <v>0</v>
      </c>
      <c r="J22" s="20">
        <v>0</v>
      </c>
      <c r="K22" s="16">
        <v>0</v>
      </c>
      <c r="L22" s="20">
        <v>0</v>
      </c>
    </row>
    <row r="23" spans="2:12" x14ac:dyDescent="0.2">
      <c r="B23" s="1" t="s">
        <v>28</v>
      </c>
      <c r="C23" s="16" t="s">
        <v>7</v>
      </c>
      <c r="D23" s="17" t="s">
        <v>7</v>
      </c>
      <c r="E23" s="16" t="s">
        <v>7</v>
      </c>
      <c r="F23" s="20" t="s">
        <v>7</v>
      </c>
      <c r="G23" s="16" t="s">
        <v>7</v>
      </c>
      <c r="H23" s="20" t="s">
        <v>7</v>
      </c>
      <c r="I23" s="16" t="s">
        <v>7</v>
      </c>
      <c r="J23" s="20" t="s">
        <v>7</v>
      </c>
      <c r="K23" s="16" t="s">
        <v>7</v>
      </c>
      <c r="L23" s="20" t="s">
        <v>7</v>
      </c>
    </row>
    <row r="24" spans="2:12" x14ac:dyDescent="0.2">
      <c r="C24" s="16"/>
      <c r="D24" s="17"/>
      <c r="E24" s="16"/>
      <c r="F24" s="20"/>
      <c r="G24" s="16"/>
      <c r="H24" s="20"/>
      <c r="I24" s="16"/>
      <c r="J24" s="20"/>
      <c r="K24" s="16"/>
      <c r="L24" s="20"/>
    </row>
    <row r="25" spans="2:12" x14ac:dyDescent="0.2">
      <c r="B25" s="1" t="s">
        <v>29</v>
      </c>
      <c r="C25" s="16">
        <v>0</v>
      </c>
      <c r="D25" s="17">
        <v>0</v>
      </c>
      <c r="E25" s="16">
        <v>0.6</v>
      </c>
      <c r="F25" s="20">
        <f>0.02*1000</f>
        <v>20</v>
      </c>
      <c r="G25" s="16">
        <v>0.4</v>
      </c>
      <c r="H25" s="20">
        <f>0.1*1000</f>
        <v>100</v>
      </c>
      <c r="I25" s="16">
        <v>0</v>
      </c>
      <c r="J25" s="20">
        <v>0</v>
      </c>
      <c r="K25" s="16">
        <v>0</v>
      </c>
      <c r="L25" s="20">
        <v>0</v>
      </c>
    </row>
    <row r="26" spans="2:12" x14ac:dyDescent="0.2">
      <c r="B26" s="1" t="s">
        <v>30</v>
      </c>
      <c r="C26" s="16" t="s">
        <v>7</v>
      </c>
      <c r="D26" s="17" t="s">
        <v>7</v>
      </c>
      <c r="E26" s="10">
        <v>0.32500000000000001</v>
      </c>
      <c r="F26" s="11">
        <f>151358/1000/0.904</f>
        <v>167.43141592920355</v>
      </c>
      <c r="G26" s="10">
        <v>0.26700000000000002</v>
      </c>
      <c r="H26" s="11">
        <v>58784</v>
      </c>
      <c r="I26" s="10">
        <v>0</v>
      </c>
      <c r="J26" s="11">
        <v>0</v>
      </c>
      <c r="K26" s="10">
        <v>0</v>
      </c>
      <c r="L26" s="11">
        <v>0</v>
      </c>
    </row>
    <row r="27" spans="2:12" x14ac:dyDescent="0.2">
      <c r="B27" s="1" t="s">
        <v>31</v>
      </c>
      <c r="C27" s="16" t="s">
        <v>7</v>
      </c>
      <c r="D27" s="17" t="s">
        <v>7</v>
      </c>
      <c r="E27" s="16" t="s">
        <v>7</v>
      </c>
      <c r="F27" s="20" t="s">
        <v>7</v>
      </c>
      <c r="G27" s="16" t="s">
        <v>7</v>
      </c>
      <c r="H27" s="20" t="s">
        <v>7</v>
      </c>
      <c r="I27" s="16" t="s">
        <v>7</v>
      </c>
      <c r="J27" s="20" t="s">
        <v>7</v>
      </c>
      <c r="K27" s="16" t="s">
        <v>7</v>
      </c>
      <c r="L27" s="20" t="s">
        <v>7</v>
      </c>
    </row>
    <row r="28" spans="2:12" x14ac:dyDescent="0.2">
      <c r="B28" s="1" t="s">
        <v>39</v>
      </c>
      <c r="C28" s="16" t="s">
        <v>7</v>
      </c>
      <c r="D28" s="17" t="s">
        <v>7</v>
      </c>
      <c r="E28" s="16" t="s">
        <v>7</v>
      </c>
      <c r="F28" s="20" t="s">
        <v>7</v>
      </c>
      <c r="G28" s="16" t="s">
        <v>7</v>
      </c>
      <c r="H28" s="20" t="s">
        <v>7</v>
      </c>
      <c r="I28" s="16" t="s">
        <v>7</v>
      </c>
      <c r="J28" s="20" t="s">
        <v>7</v>
      </c>
      <c r="K28" s="16" t="s">
        <v>7</v>
      </c>
      <c r="L28" s="20" t="s">
        <v>7</v>
      </c>
    </row>
    <row r="29" spans="2:12" x14ac:dyDescent="0.2">
      <c r="B29" s="1" t="s">
        <v>32</v>
      </c>
      <c r="C29" s="16">
        <v>90</v>
      </c>
      <c r="D29" s="17">
        <v>110</v>
      </c>
      <c r="E29" s="10">
        <v>20.100000000000001</v>
      </c>
      <c r="F29" s="11">
        <f>55129.9/3.9454</f>
        <v>13973.209307041112</v>
      </c>
      <c r="G29" s="10">
        <v>15.7</v>
      </c>
      <c r="H29" s="11">
        <f>46754.7/3.7775</f>
        <v>12377.15420251489</v>
      </c>
      <c r="I29" s="10">
        <v>30.4</v>
      </c>
      <c r="J29" s="11">
        <f>90572.2/3.9454</f>
        <v>22956.404927257059</v>
      </c>
      <c r="K29" s="10">
        <v>54.9</v>
      </c>
      <c r="L29" s="11">
        <f>140109.1/3.7775</f>
        <v>37090.43017868961</v>
      </c>
    </row>
    <row r="30" spans="2:12" x14ac:dyDescent="0.2">
      <c r="C30" s="16"/>
      <c r="D30" s="17"/>
      <c r="E30" s="10"/>
      <c r="F30" s="11"/>
      <c r="G30" s="10"/>
      <c r="H30" s="11"/>
      <c r="I30" s="10"/>
      <c r="J30" s="11"/>
      <c r="K30" s="10"/>
      <c r="L30" s="11"/>
    </row>
    <row r="31" spans="2:12" x14ac:dyDescent="0.2">
      <c r="B31" s="1" t="s">
        <v>33</v>
      </c>
      <c r="C31" s="16">
        <v>0</v>
      </c>
      <c r="D31" s="17">
        <v>0</v>
      </c>
      <c r="E31" s="10">
        <v>5.4720000000000004</v>
      </c>
      <c r="F31" s="11">
        <f>2601.42/0.904</f>
        <v>2877.6769911504425</v>
      </c>
      <c r="G31" s="10">
        <v>7.5039999999999996</v>
      </c>
      <c r="H31" s="11">
        <f>3162.035/0.87775</f>
        <v>3602.4323554542862</v>
      </c>
      <c r="I31" s="10">
        <v>51.665999999999997</v>
      </c>
      <c r="J31" s="11">
        <f>1526.263/0.904</f>
        <v>1688.3440265486724</v>
      </c>
      <c r="K31" s="10">
        <v>20.591999999999999</v>
      </c>
      <c r="L31" s="11">
        <f>1416.221/0.87775</f>
        <v>1613.4673882084876</v>
      </c>
    </row>
    <row r="32" spans="2:12" x14ac:dyDescent="0.2">
      <c r="B32" s="1" t="s">
        <v>34</v>
      </c>
      <c r="C32" s="16">
        <v>0</v>
      </c>
      <c r="D32" s="17">
        <v>0</v>
      </c>
      <c r="E32" s="10">
        <v>2.1</v>
      </c>
      <c r="F32" s="11">
        <v>1372</v>
      </c>
      <c r="G32" s="10">
        <v>3.6</v>
      </c>
      <c r="H32" s="11">
        <v>2696</v>
      </c>
      <c r="I32" s="10">
        <v>0</v>
      </c>
      <c r="J32" s="11">
        <v>0</v>
      </c>
      <c r="K32" s="10">
        <v>0</v>
      </c>
      <c r="L32" s="11">
        <v>0</v>
      </c>
    </row>
    <row r="33" spans="2:12" x14ac:dyDescent="0.2">
      <c r="B33" s="1" t="s">
        <v>35</v>
      </c>
      <c r="C33" s="16">
        <v>4</v>
      </c>
      <c r="D33" s="17">
        <v>14</v>
      </c>
      <c r="E33" s="10">
        <v>19.454000000000001</v>
      </c>
      <c r="F33" s="11">
        <f>5067.489/0.904</f>
        <v>5605.62942477876</v>
      </c>
      <c r="G33" s="10">
        <v>19.489999999999998</v>
      </c>
      <c r="H33" s="11">
        <f>4745.247/0.8873</f>
        <v>5347.9623577144148</v>
      </c>
      <c r="I33" s="10">
        <v>18.692</v>
      </c>
      <c r="J33" s="11">
        <f>13967.299/0.904</f>
        <v>15450.551991150443</v>
      </c>
      <c r="K33" s="10">
        <v>30.279</v>
      </c>
      <c r="L33" s="11">
        <f>21477.547/0.8873</f>
        <v>24205.507720049587</v>
      </c>
    </row>
    <row r="34" spans="2:12" x14ac:dyDescent="0.2">
      <c r="B34" s="1" t="s">
        <v>36</v>
      </c>
      <c r="C34" s="16" t="s">
        <v>7</v>
      </c>
      <c r="D34" s="17" t="s">
        <v>7</v>
      </c>
      <c r="E34" s="10">
        <v>8.4375417124461016</v>
      </c>
      <c r="F34" s="11">
        <v>5742.0127283185839</v>
      </c>
      <c r="G34" s="10">
        <v>10.911476149854018</v>
      </c>
      <c r="H34" s="11">
        <v>7545.1813915248513</v>
      </c>
      <c r="I34" s="10">
        <v>3.343921299999892</v>
      </c>
      <c r="J34" s="11">
        <v>5024.328514933627</v>
      </c>
      <c r="K34" s="10">
        <v>5.2327173084864196</v>
      </c>
      <c r="L34" s="11">
        <v>7337.9695737631018</v>
      </c>
    </row>
    <row r="35" spans="2:12" x14ac:dyDescent="0.2">
      <c r="B35" s="1" t="s">
        <v>37</v>
      </c>
      <c r="C35" s="16" t="s">
        <v>7</v>
      </c>
      <c r="D35" s="17" t="s">
        <v>7</v>
      </c>
      <c r="E35" s="16" t="s">
        <v>7</v>
      </c>
      <c r="F35" s="20" t="s">
        <v>7</v>
      </c>
      <c r="G35" s="16" t="s">
        <v>7</v>
      </c>
      <c r="H35" s="20" t="s">
        <v>7</v>
      </c>
      <c r="I35" s="16" t="s">
        <v>7</v>
      </c>
      <c r="J35" s="20" t="s">
        <v>7</v>
      </c>
      <c r="K35" s="16" t="s">
        <v>7</v>
      </c>
      <c r="L35" s="20" t="s">
        <v>7</v>
      </c>
    </row>
    <row r="36" spans="2:12" x14ac:dyDescent="0.2">
      <c r="C36" s="16"/>
      <c r="D36" s="17"/>
      <c r="E36" s="16"/>
      <c r="F36" s="20"/>
      <c r="G36" s="16"/>
      <c r="H36" s="20"/>
      <c r="I36" s="16"/>
      <c r="J36" s="20"/>
      <c r="K36" s="16"/>
      <c r="L36" s="20"/>
    </row>
    <row r="37" spans="2:12" x14ac:dyDescent="0.2">
      <c r="B37" s="1" t="s">
        <v>38</v>
      </c>
      <c r="C37" s="18" t="s">
        <v>23</v>
      </c>
      <c r="D37" s="19" t="s">
        <v>23</v>
      </c>
      <c r="E37" s="10">
        <v>9.9269999999999996</v>
      </c>
      <c r="F37" s="11">
        <f>117492/8.561</f>
        <v>13724.09765214344</v>
      </c>
      <c r="G37" s="10">
        <v>13.829000000000001</v>
      </c>
      <c r="H37" s="11">
        <f>182263/8.5481</f>
        <v>21322.048174448122</v>
      </c>
      <c r="I37" s="10">
        <v>1.0309999999999999</v>
      </c>
      <c r="J37" s="11">
        <f>19632/8.561</f>
        <v>2293.1900478916014</v>
      </c>
      <c r="K37" s="10">
        <v>1.3089999999999999</v>
      </c>
      <c r="L37" s="11">
        <f>25541/8.5481</f>
        <v>2987.9154431979036</v>
      </c>
    </row>
    <row r="38" spans="2:12" x14ac:dyDescent="0.2">
      <c r="B38" s="1" t="s">
        <v>40</v>
      </c>
      <c r="C38" s="16" t="s">
        <v>7</v>
      </c>
      <c r="D38" s="17" t="s">
        <v>7</v>
      </c>
      <c r="E38" s="10">
        <f>7992/1000</f>
        <v>7.992</v>
      </c>
      <c r="F38" s="11">
        <v>4787</v>
      </c>
      <c r="G38" s="10">
        <v>12</v>
      </c>
      <c r="H38" s="11">
        <v>5680</v>
      </c>
      <c r="I38" s="10">
        <v>3</v>
      </c>
      <c r="J38" s="11">
        <v>3033</v>
      </c>
      <c r="K38" s="10">
        <v>2</v>
      </c>
      <c r="L38" s="11">
        <v>1935</v>
      </c>
    </row>
    <row r="39" spans="2:12" x14ac:dyDescent="0.2">
      <c r="B39" s="1" t="s">
        <v>41</v>
      </c>
      <c r="C39" s="16" t="s">
        <v>7</v>
      </c>
      <c r="D39" s="17" t="s">
        <v>7</v>
      </c>
      <c r="E39" s="10">
        <v>0.3</v>
      </c>
      <c r="F39" s="11">
        <v>260.7</v>
      </c>
      <c r="G39" s="10">
        <v>1</v>
      </c>
      <c r="H39" s="11">
        <v>594.5</v>
      </c>
      <c r="I39" s="10">
        <v>0.6</v>
      </c>
      <c r="J39" s="11">
        <v>364.1</v>
      </c>
      <c r="K39" s="10">
        <v>0.6</v>
      </c>
      <c r="L39" s="11">
        <v>345.2</v>
      </c>
    </row>
    <row r="40" spans="2:12" x14ac:dyDescent="0.2">
      <c r="B40" s="1" t="s">
        <v>42</v>
      </c>
      <c r="C40" s="16" t="s">
        <v>7</v>
      </c>
      <c r="D40" s="17" t="s">
        <v>7</v>
      </c>
      <c r="E40" s="10">
        <f>(70332/1000)/1</f>
        <v>70.331999999999994</v>
      </c>
      <c r="F40" s="11">
        <v>62971.453072248478</v>
      </c>
      <c r="G40" s="10">
        <f>(66374/1000)/1</f>
        <v>66.373999999999995</v>
      </c>
      <c r="H40" s="11">
        <v>60266.347367065784</v>
      </c>
      <c r="I40" s="10">
        <f>(1309/1000)/1</f>
        <v>1.3089999999999999</v>
      </c>
      <c r="J40" s="11">
        <v>2172.7521944632003</v>
      </c>
      <c r="K40" s="10">
        <f>(1629/1000)/1</f>
        <v>1.629</v>
      </c>
      <c r="L40" s="11">
        <v>3043.9011201235999</v>
      </c>
    </row>
    <row r="41" spans="2:12" x14ac:dyDescent="0.2">
      <c r="B41" s="2" t="s">
        <v>43</v>
      </c>
      <c r="C41" s="23">
        <v>1841</v>
      </c>
      <c r="D41" s="24">
        <v>2059</v>
      </c>
      <c r="E41" s="23" t="s">
        <v>7</v>
      </c>
      <c r="F41" s="25" t="s">
        <v>7</v>
      </c>
      <c r="G41" s="23" t="s">
        <v>7</v>
      </c>
      <c r="H41" s="25" t="s">
        <v>7</v>
      </c>
      <c r="I41" s="23" t="s">
        <v>7</v>
      </c>
      <c r="J41" s="25" t="s">
        <v>7</v>
      </c>
      <c r="K41" s="23" t="s">
        <v>7</v>
      </c>
      <c r="L41" s="25" t="s">
        <v>7</v>
      </c>
    </row>
  </sheetData>
  <mergeCells count="9">
    <mergeCell ref="E9:F9"/>
    <mergeCell ref="G9:H9"/>
    <mergeCell ref="I9:J9"/>
    <mergeCell ref="K9:L9"/>
    <mergeCell ref="C4:L4"/>
    <mergeCell ref="C6:L6"/>
    <mergeCell ref="C8:D8"/>
    <mergeCell ref="E8:H8"/>
    <mergeCell ref="I8:L8"/>
  </mergeCells>
  <pageMargins left="0.7" right="0.7" top="0.75" bottom="0.75" header="0.3" footer="0.3"/>
  <pageSetup paperSize="9"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5E8BD-742D-43C1-B4E5-964EED5B630F}">
  <dimension ref="A1:Q50"/>
  <sheetViews>
    <sheetView showGridLines="0" zoomScaleNormal="100" zoomScaleSheetLayoutView="100" workbookViewId="0"/>
  </sheetViews>
  <sheetFormatPr defaultColWidth="11" defaultRowHeight="12.75" customHeight="1" x14ac:dyDescent="0.2"/>
  <cols>
    <col min="1" max="1" width="9.5703125" style="140" customWidth="1"/>
    <col min="2" max="2" width="73.140625" style="37" customWidth="1"/>
    <col min="3" max="3" width="20.5703125" style="37" customWidth="1"/>
    <col min="4" max="11" width="17.85546875" style="37" customWidth="1"/>
    <col min="12" max="12" width="14.42578125" style="37" customWidth="1"/>
    <col min="13" max="13" width="1.85546875" style="37" customWidth="1"/>
    <col min="14" max="16384" width="11" style="37"/>
  </cols>
  <sheetData>
    <row r="1" spans="1:11" ht="17.100000000000001" customHeight="1" x14ac:dyDescent="0.2">
      <c r="A1" s="32"/>
      <c r="B1" s="33" t="s">
        <v>56</v>
      </c>
      <c r="C1" s="34" t="s">
        <v>57</v>
      </c>
      <c r="D1" s="35" t="s">
        <v>56</v>
      </c>
      <c r="E1" s="36" t="s">
        <v>58</v>
      </c>
    </row>
    <row r="2" spans="1:11" ht="17.100000000000001" customHeight="1" x14ac:dyDescent="0.2">
      <c r="A2" s="38"/>
      <c r="B2" s="39" t="s">
        <v>56</v>
      </c>
      <c r="C2" s="40" t="s">
        <v>59</v>
      </c>
      <c r="D2" s="41"/>
      <c r="E2" s="42"/>
    </row>
    <row r="3" spans="1:11" ht="17.100000000000001" customHeight="1" x14ac:dyDescent="0.2">
      <c r="A3" s="38"/>
      <c r="B3" s="39" t="s">
        <v>56</v>
      </c>
      <c r="C3" s="43" t="s">
        <v>56</v>
      </c>
      <c r="D3" s="44"/>
      <c r="E3" s="45"/>
    </row>
    <row r="4" spans="1:11" ht="17.100000000000001" customHeight="1" x14ac:dyDescent="0.2">
      <c r="A4" s="38"/>
      <c r="B4" s="39"/>
      <c r="C4" s="46" t="s">
        <v>60</v>
      </c>
      <c r="D4" s="47"/>
      <c r="E4" s="42"/>
    </row>
    <row r="5" spans="1:11" ht="17.100000000000001" customHeight="1" x14ac:dyDescent="0.2">
      <c r="A5" s="48"/>
      <c r="B5" s="49"/>
      <c r="C5" s="50" t="s">
        <v>56</v>
      </c>
      <c r="D5" s="51"/>
      <c r="E5" s="52"/>
      <c r="G5" s="53"/>
      <c r="H5" s="53"/>
      <c r="I5" s="53"/>
      <c r="J5" s="53"/>
    </row>
    <row r="6" spans="1:11" ht="17.100000000000001" customHeight="1" x14ac:dyDescent="0.2">
      <c r="A6" s="48"/>
      <c r="B6" s="49"/>
      <c r="C6" s="54"/>
      <c r="D6" s="55"/>
      <c r="E6" s="56"/>
      <c r="F6" s="57"/>
      <c r="G6" s="58"/>
      <c r="H6" s="58"/>
      <c r="I6" s="53"/>
      <c r="J6" s="53"/>
    </row>
    <row r="7" spans="1:11" ht="16.5" customHeight="1" x14ac:dyDescent="0.2">
      <c r="A7" s="59" t="s">
        <v>61</v>
      </c>
      <c r="B7" s="60"/>
      <c r="C7" s="46" t="s">
        <v>62</v>
      </c>
      <c r="D7" s="61"/>
      <c r="E7" s="62" t="s">
        <v>63</v>
      </c>
      <c r="F7" s="57"/>
      <c r="G7" s="58"/>
      <c r="H7" s="58"/>
      <c r="I7" s="53"/>
      <c r="J7" s="53"/>
    </row>
    <row r="8" spans="1:11" ht="19.5" customHeight="1" x14ac:dyDescent="0.2">
      <c r="A8" s="59" t="s">
        <v>64</v>
      </c>
      <c r="B8" s="60"/>
      <c r="C8" s="46" t="s">
        <v>65</v>
      </c>
      <c r="D8" s="63" t="s">
        <v>56</v>
      </c>
      <c r="E8" s="42"/>
      <c r="F8" s="57"/>
      <c r="G8" s="58"/>
      <c r="H8" s="58"/>
      <c r="I8" s="53"/>
      <c r="J8" s="53"/>
    </row>
    <row r="9" spans="1:11" ht="15.75" customHeight="1" x14ac:dyDescent="0.2">
      <c r="A9" s="64"/>
      <c r="B9" s="65"/>
      <c r="C9" s="55"/>
      <c r="D9" s="66">
        <v>51</v>
      </c>
      <c r="E9" s="67">
        <v>51</v>
      </c>
      <c r="F9" s="57"/>
      <c r="G9" s="57"/>
      <c r="H9" s="57"/>
    </row>
    <row r="10" spans="1:11" ht="12.75" customHeight="1" x14ac:dyDescent="0.2">
      <c r="A10" s="68" t="s">
        <v>66</v>
      </c>
      <c r="B10" s="69" t="s">
        <v>66</v>
      </c>
      <c r="C10" s="70" t="s">
        <v>67</v>
      </c>
      <c r="D10" s="71">
        <v>2016</v>
      </c>
      <c r="E10" s="72">
        <f>D10+1</f>
        <v>2017</v>
      </c>
      <c r="G10" s="57"/>
      <c r="H10" s="57"/>
    </row>
    <row r="11" spans="1:11" ht="12.75" customHeight="1" x14ac:dyDescent="0.2">
      <c r="A11" s="73" t="s">
        <v>68</v>
      </c>
      <c r="B11" s="74"/>
      <c r="C11" s="75"/>
      <c r="D11" s="76" t="s">
        <v>69</v>
      </c>
      <c r="E11" s="77" t="s">
        <v>69</v>
      </c>
      <c r="G11" s="57"/>
      <c r="H11" s="57"/>
    </row>
    <row r="12" spans="1:11" s="81" customFormat="1" ht="12.75" customHeight="1" x14ac:dyDescent="0.25">
      <c r="A12" s="78" t="s">
        <v>70</v>
      </c>
      <c r="B12" s="79"/>
      <c r="C12" s="79"/>
      <c r="D12" s="79"/>
      <c r="E12" s="80"/>
      <c r="G12" s="82"/>
      <c r="H12" s="82"/>
    </row>
    <row r="13" spans="1:11" s="81" customFormat="1" ht="24.95" customHeight="1" x14ac:dyDescent="0.25">
      <c r="A13" s="83" t="s">
        <v>71</v>
      </c>
      <c r="B13" s="84" t="s">
        <v>72</v>
      </c>
      <c r="C13" s="85" t="s">
        <v>73</v>
      </c>
      <c r="D13" s="86"/>
      <c r="E13" s="87"/>
      <c r="G13" s="82"/>
      <c r="H13" s="82"/>
    </row>
    <row r="14" spans="1:11" s="81" customFormat="1" ht="24.95" customHeight="1" x14ac:dyDescent="0.25">
      <c r="A14" s="83" t="s">
        <v>74</v>
      </c>
      <c r="B14" s="84" t="s">
        <v>75</v>
      </c>
      <c r="C14" s="85" t="s">
        <v>73</v>
      </c>
      <c r="D14" s="86"/>
      <c r="E14" s="88"/>
      <c r="G14" s="82"/>
      <c r="H14" s="82"/>
    </row>
    <row r="15" spans="1:11" s="81" customFormat="1" ht="24.95" customHeight="1" x14ac:dyDescent="0.25">
      <c r="A15" s="83" t="s">
        <v>76</v>
      </c>
      <c r="B15" s="89" t="s">
        <v>77</v>
      </c>
      <c r="C15" s="85" t="s">
        <v>19</v>
      </c>
      <c r="D15" s="86"/>
      <c r="E15" s="88"/>
      <c r="G15" s="90" t="s">
        <v>78</v>
      </c>
      <c r="H15" s="82"/>
    </row>
    <row r="16" spans="1:11" s="95" customFormat="1" ht="24.95" customHeight="1" thickBot="1" x14ac:dyDescent="0.3">
      <c r="A16" s="83" t="s">
        <v>79</v>
      </c>
      <c r="B16" s="91" t="s">
        <v>80</v>
      </c>
      <c r="C16" s="85" t="s">
        <v>73</v>
      </c>
      <c r="D16" s="86"/>
      <c r="E16" s="88"/>
      <c r="F16" s="92"/>
      <c r="G16" s="93"/>
      <c r="H16" s="93"/>
      <c r="I16" s="94"/>
      <c r="J16" s="94"/>
      <c r="K16" s="94"/>
    </row>
    <row r="17" spans="1:12" s="81" customFormat="1" ht="12.75" customHeight="1" x14ac:dyDescent="0.25">
      <c r="A17" s="96" t="s">
        <v>81</v>
      </c>
      <c r="B17" s="97"/>
      <c r="C17" s="97"/>
      <c r="D17" s="97"/>
      <c r="E17" s="97"/>
      <c r="F17" s="97"/>
      <c r="G17" s="97"/>
      <c r="H17" s="97"/>
      <c r="I17" s="97"/>
      <c r="J17" s="97"/>
      <c r="K17" s="98"/>
      <c r="L17" s="99"/>
    </row>
    <row r="18" spans="1:12" s="95" customFormat="1" x14ac:dyDescent="0.25">
      <c r="A18" s="100" t="s">
        <v>82</v>
      </c>
      <c r="B18" s="101"/>
      <c r="C18" s="102"/>
      <c r="D18" s="103" t="s">
        <v>4</v>
      </c>
      <c r="E18" s="104"/>
      <c r="F18" s="104"/>
      <c r="G18" s="104"/>
      <c r="H18" s="105" t="s">
        <v>5</v>
      </c>
      <c r="I18" s="104"/>
      <c r="J18" s="104"/>
      <c r="K18" s="106"/>
    </row>
    <row r="19" spans="1:12" s="95" customFormat="1" x14ac:dyDescent="0.25">
      <c r="A19" s="100"/>
      <c r="B19" s="101"/>
      <c r="C19" s="102"/>
      <c r="D19" s="107">
        <f>D10</f>
        <v>2016</v>
      </c>
      <c r="E19" s="108"/>
      <c r="F19" s="107">
        <f>D19+1</f>
        <v>2017</v>
      </c>
      <c r="G19" s="108"/>
      <c r="H19" s="109">
        <f>D19</f>
        <v>2016</v>
      </c>
      <c r="I19" s="110"/>
      <c r="J19" s="107">
        <f>F19</f>
        <v>2017</v>
      </c>
      <c r="K19" s="111"/>
    </row>
    <row r="20" spans="1:12" s="95" customFormat="1" x14ac:dyDescent="0.25">
      <c r="A20" s="112"/>
      <c r="B20" s="113"/>
      <c r="C20" s="114"/>
      <c r="D20" s="115" t="s">
        <v>69</v>
      </c>
      <c r="E20" s="116" t="s">
        <v>83</v>
      </c>
      <c r="F20" s="117" t="s">
        <v>69</v>
      </c>
      <c r="G20" s="116" t="s">
        <v>83</v>
      </c>
      <c r="H20" s="118" t="s">
        <v>69</v>
      </c>
      <c r="I20" s="116" t="s">
        <v>83</v>
      </c>
      <c r="J20" s="115" t="s">
        <v>69</v>
      </c>
      <c r="K20" s="119" t="s">
        <v>83</v>
      </c>
    </row>
    <row r="21" spans="1:12" s="95" customFormat="1" ht="24.95" customHeight="1" x14ac:dyDescent="0.25">
      <c r="A21" s="83" t="s">
        <v>71</v>
      </c>
      <c r="B21" s="84" t="s">
        <v>72</v>
      </c>
      <c r="C21" s="85" t="s">
        <v>73</v>
      </c>
      <c r="D21" s="86"/>
      <c r="E21" s="120"/>
      <c r="F21" s="86"/>
      <c r="G21" s="120"/>
      <c r="H21" s="121"/>
      <c r="I21" s="120"/>
      <c r="J21" s="86"/>
      <c r="K21" s="122"/>
      <c r="L21" s="123"/>
    </row>
    <row r="22" spans="1:12" s="95" customFormat="1" ht="24.95" customHeight="1" x14ac:dyDescent="0.25">
      <c r="A22" s="83" t="s">
        <v>74</v>
      </c>
      <c r="B22" s="84" t="s">
        <v>75</v>
      </c>
      <c r="C22" s="85" t="s">
        <v>73</v>
      </c>
      <c r="D22" s="124"/>
      <c r="E22" s="120"/>
      <c r="F22" s="124"/>
      <c r="G22" s="120"/>
      <c r="H22" s="125"/>
      <c r="I22" s="120"/>
      <c r="J22" s="124"/>
      <c r="K22" s="122"/>
      <c r="L22" s="126"/>
    </row>
    <row r="23" spans="1:12" s="95" customFormat="1" ht="24.95" customHeight="1" x14ac:dyDescent="0.25">
      <c r="A23" s="83" t="s">
        <v>76</v>
      </c>
      <c r="B23" s="89" t="s">
        <v>77</v>
      </c>
      <c r="C23" s="85" t="s">
        <v>19</v>
      </c>
      <c r="D23" s="86"/>
      <c r="E23" s="120"/>
      <c r="F23" s="86"/>
      <c r="G23" s="120"/>
      <c r="H23" s="121"/>
      <c r="I23" s="120"/>
      <c r="J23" s="86"/>
      <c r="K23" s="88"/>
      <c r="L23" s="126"/>
    </row>
    <row r="24" spans="1:12" s="95" customFormat="1" ht="24.95" customHeight="1" thickBot="1" x14ac:dyDescent="0.3">
      <c r="A24" s="127" t="s">
        <v>79</v>
      </c>
      <c r="B24" s="128" t="s">
        <v>80</v>
      </c>
      <c r="C24" s="129" t="s">
        <v>73</v>
      </c>
      <c r="D24" s="130"/>
      <c r="E24" s="131"/>
      <c r="F24" s="130"/>
      <c r="G24" s="131"/>
      <c r="H24" s="132"/>
      <c r="I24" s="131"/>
      <c r="J24" s="130"/>
      <c r="K24" s="133"/>
      <c r="L24" s="126"/>
    </row>
    <row r="25" spans="1:12" s="95" customFormat="1" ht="16.5" customHeight="1" x14ac:dyDescent="0.25">
      <c r="A25" s="134"/>
      <c r="B25" s="135"/>
      <c r="C25" s="134"/>
      <c r="D25" s="136"/>
      <c r="E25" s="137"/>
    </row>
    <row r="26" spans="1:12" s="95" customFormat="1" ht="12.75" customHeight="1" x14ac:dyDescent="0.25">
      <c r="A26" s="134" t="s">
        <v>84</v>
      </c>
      <c r="B26" s="135"/>
      <c r="C26" s="134"/>
      <c r="D26" s="136"/>
      <c r="E26" s="137"/>
    </row>
    <row r="27" spans="1:12" ht="12.75" customHeight="1" x14ac:dyDescent="0.2">
      <c r="A27" s="138"/>
      <c r="B27" s="138"/>
      <c r="C27" s="138"/>
      <c r="D27" s="138"/>
    </row>
    <row r="28" spans="1:12" ht="12.75" customHeight="1" x14ac:dyDescent="0.2">
      <c r="A28" s="138"/>
      <c r="B28" s="138"/>
      <c r="C28" s="138"/>
      <c r="D28" s="138"/>
    </row>
    <row r="29" spans="1:12" ht="12.75" customHeight="1" x14ac:dyDescent="0.2">
      <c r="A29" s="138"/>
      <c r="B29" s="138"/>
      <c r="C29" s="138"/>
      <c r="D29" s="138"/>
    </row>
    <row r="30" spans="1:12" ht="12.75" customHeight="1" x14ac:dyDescent="0.25">
      <c r="A30" s="138"/>
      <c r="B30" s="138"/>
      <c r="C30" s="138"/>
      <c r="D30" s="138"/>
      <c r="G30" s="21" t="s">
        <v>11</v>
      </c>
      <c r="H30" s="1"/>
    </row>
    <row r="31" spans="1:12" ht="12.75" customHeight="1" x14ac:dyDescent="0.2">
      <c r="A31" s="138"/>
      <c r="B31" s="138"/>
      <c r="C31" s="138"/>
      <c r="D31" s="138"/>
      <c r="G31" s="1"/>
      <c r="H31" s="1"/>
    </row>
    <row r="32" spans="1:12" ht="12.75" customHeight="1" x14ac:dyDescent="0.2">
      <c r="A32" s="138"/>
      <c r="B32" s="138"/>
      <c r="C32" s="138"/>
      <c r="D32" s="138"/>
      <c r="G32" s="1"/>
      <c r="H32" s="27"/>
    </row>
    <row r="33" spans="1:8" ht="12.75" customHeight="1" x14ac:dyDescent="0.2">
      <c r="A33" s="138"/>
      <c r="B33" s="138"/>
      <c r="C33" s="138"/>
      <c r="D33" s="138"/>
      <c r="G33" s="1" t="s">
        <v>3</v>
      </c>
      <c r="H33" s="1" t="s">
        <v>10</v>
      </c>
    </row>
    <row r="34" spans="1:8" ht="12.75" customHeight="1" x14ac:dyDescent="0.2">
      <c r="A34" s="138"/>
      <c r="B34" s="138"/>
      <c r="C34" s="138"/>
      <c r="D34" s="138"/>
      <c r="G34" s="1" t="s">
        <v>12</v>
      </c>
      <c r="H34" s="1" t="s">
        <v>13</v>
      </c>
    </row>
    <row r="35" spans="1:8" ht="12.75" customHeight="1" x14ac:dyDescent="0.2">
      <c r="A35" s="138"/>
      <c r="B35" s="138"/>
      <c r="C35" s="138"/>
      <c r="D35" s="138"/>
      <c r="G35" s="1" t="s">
        <v>14</v>
      </c>
      <c r="H35" s="1" t="s">
        <v>15</v>
      </c>
    </row>
    <row r="36" spans="1:8" ht="12.75" customHeight="1" x14ac:dyDescent="0.2">
      <c r="A36" s="138"/>
      <c r="B36" s="138"/>
      <c r="C36" s="138"/>
      <c r="D36" s="138"/>
      <c r="G36" s="1" t="s">
        <v>16</v>
      </c>
      <c r="H36" s="1" t="s">
        <v>10</v>
      </c>
    </row>
    <row r="37" spans="1:8" ht="12.75" customHeight="1" x14ac:dyDescent="0.2">
      <c r="A37" s="138"/>
      <c r="B37" s="138"/>
      <c r="C37" s="138"/>
      <c r="D37" s="138"/>
    </row>
    <row r="38" spans="1:8" ht="12.75" customHeight="1" x14ac:dyDescent="0.2">
      <c r="A38" s="138"/>
      <c r="B38" s="138"/>
      <c r="C38" s="138"/>
      <c r="D38" s="138"/>
    </row>
    <row r="39" spans="1:8" ht="12.75" customHeight="1" x14ac:dyDescent="0.2">
      <c r="A39" s="138"/>
      <c r="B39" s="138"/>
      <c r="C39" s="138"/>
      <c r="D39" s="138"/>
    </row>
    <row r="40" spans="1:8" ht="12.75" customHeight="1" x14ac:dyDescent="0.2">
      <c r="A40" s="138"/>
      <c r="B40" s="138"/>
      <c r="C40" s="138"/>
      <c r="D40" s="138"/>
    </row>
    <row r="41" spans="1:8" ht="12.75" customHeight="1" x14ac:dyDescent="0.2">
      <c r="A41" s="138"/>
      <c r="B41" s="138"/>
      <c r="C41" s="138"/>
      <c r="D41" s="138"/>
    </row>
    <row r="42" spans="1:8" ht="12.75" customHeight="1" x14ac:dyDescent="0.2">
      <c r="A42" s="138"/>
      <c r="B42" s="138"/>
      <c r="C42" s="138"/>
      <c r="D42" s="138"/>
    </row>
    <row r="43" spans="1:8" ht="12.75" customHeight="1" x14ac:dyDescent="0.2">
      <c r="A43" s="138"/>
      <c r="B43" s="138"/>
      <c r="C43" s="138"/>
      <c r="D43" s="138"/>
    </row>
    <row r="50" spans="14:17" ht="12.75" customHeight="1" x14ac:dyDescent="0.2">
      <c r="N50" s="139" t="s">
        <v>56</v>
      </c>
      <c r="O50" s="139" t="s">
        <v>56</v>
      </c>
      <c r="P50" s="139" t="s">
        <v>56</v>
      </c>
      <c r="Q50" s="139" t="s">
        <v>56</v>
      </c>
    </row>
  </sheetData>
  <mergeCells count="17">
    <mergeCell ref="J19:K19"/>
    <mergeCell ref="B10:B11"/>
    <mergeCell ref="C10:C11"/>
    <mergeCell ref="A12:E12"/>
    <mergeCell ref="A17:K17"/>
    <mergeCell ref="A18:C20"/>
    <mergeCell ref="D18:G18"/>
    <mergeCell ref="H18:K18"/>
    <mergeCell ref="D19:E19"/>
    <mergeCell ref="F19:G19"/>
    <mergeCell ref="H19:I19"/>
    <mergeCell ref="C2:D2"/>
    <mergeCell ref="C3:E3"/>
    <mergeCell ref="A5:B6"/>
    <mergeCell ref="C5:E5"/>
    <mergeCell ref="A7:B7"/>
    <mergeCell ref="A8:B8"/>
  </mergeCells>
  <printOptions horizontalCentered="1" verticalCentered="1"/>
  <pageMargins left="0.39370078740157483" right="0.39370078740157483" top="0.19685039370078741" bottom="0.19685039370078741" header="0.19685039370078741" footer="0.19685039370078741"/>
  <pageSetup paperSize="9" scale="65" fitToHeight="2" orientation="landscape" cellComments="asDisplayed" r:id="rId1"/>
  <headerFooter alignWithMargins="0"/>
  <rowBreaks count="1" manualBreakCount="1">
    <brk id="2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Glulam</vt:lpstr>
      <vt:lpstr>CLT</vt:lpstr>
      <vt:lpstr>I-Beam</vt:lpstr>
      <vt:lpstr>LVL</vt:lpstr>
      <vt:lpstr>Questionnaire</vt:lpstr>
      <vt:lpstr>CLT!Print_Area</vt:lpstr>
      <vt:lpstr>Glulam!Print_Area</vt:lpstr>
      <vt:lpstr>'I-Beam'!Print_Area</vt:lpstr>
      <vt:lpstr>LVL!Print_Area</vt:lpstr>
      <vt:lpstr>Questionnaire!Print_Area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McCusker 1/3/19</dc:creator>
  <cp:lastModifiedBy>Alex McCusker 31/10/19</cp:lastModifiedBy>
  <cp:lastPrinted>2019-03-25T10:52:25Z</cp:lastPrinted>
  <dcterms:created xsi:type="dcterms:W3CDTF">2019-03-22T14:19:37Z</dcterms:created>
  <dcterms:modified xsi:type="dcterms:W3CDTF">2019-11-03T17:20:51Z</dcterms:modified>
</cp:coreProperties>
</file>