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whiteman.IRENA\Desktop\Training - Europe\"/>
    </mc:Choice>
  </mc:AlternateContent>
  <bookViews>
    <workbookView xWindow="0" yWindow="0" windowWidth="19200" windowHeight="6950" tabRatio="824" activeTab="25"/>
  </bookViews>
  <sheets>
    <sheet name="Cover" sheetId="27" r:id="rId1"/>
    <sheet name="Belgium" sheetId="1" r:id="rId2"/>
    <sheet name="Canada" sheetId="2" r:id="rId3"/>
    <sheet name="Germany" sheetId="9" r:id="rId4"/>
    <sheet name="Hungary" sheetId="5" r:id="rId5"/>
    <sheet name="Italy" sheetId="10" r:id="rId6"/>
    <sheet name="Netherlands" sheetId="7" r:id="rId7"/>
    <sheet name="Spain" sheetId="14" r:id="rId8"/>
    <sheet name="Austria" sheetId="3" r:id="rId9"/>
    <sheet name="Belarus" sheetId="21" r:id="rId10"/>
    <sheet name="Croatia" sheetId="15" r:id="rId11"/>
    <sheet name="Czechia" sheetId="8" r:id="rId12"/>
    <sheet name="Finland" sheetId="4" r:id="rId13"/>
    <sheet name="Georgia" sheetId="18" r:id="rId14"/>
    <sheet name="Kazakhstan" sheetId="22" r:id="rId15"/>
    <sheet name="Latvia" sheetId="23" r:id="rId16"/>
    <sheet name="Lithuania" sheetId="6" r:id="rId17"/>
    <sheet name="Macedonia" sheetId="17" r:id="rId18"/>
    <sheet name="Moldova" sheetId="24" r:id="rId19"/>
    <sheet name="Montenegro" sheetId="16" r:id="rId20"/>
    <sheet name="Portugal" sheetId="11" r:id="rId21"/>
    <sheet name="Russia" sheetId="25" r:id="rId22"/>
    <sheet name="Serbia" sheetId="19" r:id="rId23"/>
    <sheet name="Slovakia" sheetId="13" r:id="rId24"/>
    <sheet name="Turkey" sheetId="20" r:id="rId25"/>
    <sheet name="Ukraine" sheetId="26" r:id="rId26"/>
    <sheet name="Comparison" sheetId="28" r:id="rId27"/>
    <sheet name="Chart1" sheetId="29" r:id="rId28"/>
    <sheet name="Chart2" sheetId="30" r:id="rId29"/>
    <sheet name="Chart3" sheetId="31" r:id="rId30"/>
    <sheet name="Chart4" sheetId="32" r:id="rId31"/>
  </sheets>
  <definedNames>
    <definedName name="_xlnm.Print_Area" localSheetId="8">Austria!$B$1:$P$28</definedName>
    <definedName name="_xlnm.Print_Area" localSheetId="9">Belarus!$B$1:$P$28</definedName>
    <definedName name="_xlnm.Print_Area" localSheetId="1">Belgium!$B$1:$R$28</definedName>
    <definedName name="_xlnm.Print_Area" localSheetId="2">Canada!$B$1:$R$28</definedName>
    <definedName name="_xlnm.Print_Area" localSheetId="26">Comparison!$B$1:$Q$28</definedName>
    <definedName name="_xlnm.Print_Area" localSheetId="0">Cover!$B$1:$R$28</definedName>
    <definedName name="_xlnm.Print_Area" localSheetId="10">Croatia!$B$1:$P$28</definedName>
    <definedName name="_xlnm.Print_Area" localSheetId="11">Czechia!$B$1:$Q$28</definedName>
    <definedName name="_xlnm.Print_Area" localSheetId="12">Finland!$B$1:$P$28</definedName>
    <definedName name="_xlnm.Print_Area" localSheetId="13">Georgia!$B$1:$P$28</definedName>
    <definedName name="_xlnm.Print_Area" localSheetId="3">Germany!$B$1:$R$28</definedName>
    <definedName name="_xlnm.Print_Area" localSheetId="4">Hungary!$B$1:$R$28</definedName>
    <definedName name="_xlnm.Print_Area" localSheetId="5">Italy!$B$1:$R$28</definedName>
    <definedName name="_xlnm.Print_Area" localSheetId="14">Kazakhstan!$B$1:$P$28</definedName>
    <definedName name="_xlnm.Print_Area" localSheetId="15">Latvia!$B$1:$P$28</definedName>
    <definedName name="_xlnm.Print_Area" localSheetId="16">Lithuania!$B$1:$P$28</definedName>
    <definedName name="_xlnm.Print_Area" localSheetId="17">Macedonia!$B$1:$P$28</definedName>
    <definedName name="_xlnm.Print_Area" localSheetId="18">Moldova!$B$1:$P$28</definedName>
    <definedName name="_xlnm.Print_Area" localSheetId="19">Montenegro!$B$1:$P$28</definedName>
    <definedName name="_xlnm.Print_Area" localSheetId="6">Netherlands!$B$1:$R$28</definedName>
    <definedName name="_xlnm.Print_Area" localSheetId="20">Portugal!$B$1:$P$28</definedName>
    <definedName name="_xlnm.Print_Area" localSheetId="21">Russia!$B$1:$P$28</definedName>
    <definedName name="_xlnm.Print_Area" localSheetId="22">Serbia!$B$1:$P$28</definedName>
    <definedName name="_xlnm.Print_Area" localSheetId="23">Slovakia!$B$1:$P$28</definedName>
    <definedName name="_xlnm.Print_Area" localSheetId="7">Spain!$B$1:$R$28</definedName>
    <definedName name="_xlnm.Print_Area" localSheetId="24">Turkey!$B$1:$P$28</definedName>
    <definedName name="_xlnm.Print_Area" localSheetId="25">Ukraine!$B$1:$P$28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0" i="10"/>
  <c r="C10" i="21"/>
  <c r="C10" i="18"/>
  <c r="C10" i="17"/>
  <c r="C10" i="25"/>
  <c r="C10" i="26"/>
  <c r="D10" i="1"/>
  <c r="D10" i="2"/>
  <c r="C10" i="2" s="1"/>
  <c r="D10" i="9"/>
  <c r="C10" i="9" s="1"/>
  <c r="D10" i="5"/>
  <c r="C10" i="5" s="1"/>
  <c r="D10" i="10"/>
  <c r="D10" i="7"/>
  <c r="C10" i="7" s="1"/>
  <c r="D10" i="14"/>
  <c r="C10" i="14" s="1"/>
  <c r="D10" i="3"/>
  <c r="C10" i="3" s="1"/>
  <c r="D10" i="21"/>
  <c r="D10" i="15"/>
  <c r="C10" i="15" s="1"/>
  <c r="D10" i="8"/>
  <c r="C10" i="8" s="1"/>
  <c r="D10" i="4"/>
  <c r="C10" i="4" s="1"/>
  <c r="D10" i="18"/>
  <c r="D10" i="22"/>
  <c r="C10" i="22" s="1"/>
  <c r="D10" i="23"/>
  <c r="C10" i="23" s="1"/>
  <c r="D10" i="6"/>
  <c r="C10" i="6" s="1"/>
  <c r="D10" i="17"/>
  <c r="D10" i="24"/>
  <c r="C10" i="24" s="1"/>
  <c r="D10" i="16"/>
  <c r="C10" i="16" s="1"/>
  <c r="D10" i="11"/>
  <c r="C10" i="11" s="1"/>
  <c r="D10" i="25"/>
  <c r="D10" i="19"/>
  <c r="C10" i="19" s="1"/>
  <c r="D10" i="13"/>
  <c r="C10" i="13" s="1"/>
  <c r="D10" i="20"/>
  <c r="C10" i="20" s="1"/>
  <c r="D10" i="26"/>
  <c r="C13" i="1" l="1"/>
  <c r="C13" i="2"/>
  <c r="C13" i="9"/>
  <c r="C13" i="5"/>
  <c r="C13" i="10"/>
  <c r="C13" i="7"/>
  <c r="C13" i="14"/>
  <c r="C13" i="3"/>
  <c r="C13" i="21"/>
  <c r="C13" i="15"/>
  <c r="C13" i="8"/>
  <c r="C13" i="4"/>
  <c r="C13" i="18"/>
  <c r="C13" i="22"/>
  <c r="C13" i="23"/>
  <c r="C13" i="6"/>
  <c r="C13" i="17"/>
  <c r="C13" i="24"/>
  <c r="C13" i="16"/>
  <c r="C13" i="11"/>
  <c r="C13" i="25"/>
  <c r="C13" i="19"/>
  <c r="C13" i="13"/>
  <c r="C13" i="20"/>
  <c r="C13" i="26"/>
  <c r="C20" i="5"/>
  <c r="C20" i="3"/>
  <c r="C20" i="4"/>
  <c r="C20" i="6"/>
  <c r="C20" i="11"/>
  <c r="C20" i="20"/>
  <c r="H20" i="1"/>
  <c r="H20" i="2"/>
  <c r="H20" i="9"/>
  <c r="H20" i="5"/>
  <c r="H20" i="10"/>
  <c r="H20" i="7"/>
  <c r="H20" i="14"/>
  <c r="H20" i="3"/>
  <c r="H20" i="21"/>
  <c r="H20" i="15"/>
  <c r="H20" i="8"/>
  <c r="H20" i="4"/>
  <c r="H20" i="18"/>
  <c r="H20" i="22"/>
  <c r="H20" i="23"/>
  <c r="H20" i="6"/>
  <c r="H20" i="17"/>
  <c r="H20" i="24"/>
  <c r="H20" i="16"/>
  <c r="H20" i="11"/>
  <c r="H20" i="25"/>
  <c r="H20" i="19"/>
  <c r="H20" i="13"/>
  <c r="H20" i="20"/>
  <c r="H20" i="26"/>
  <c r="D20" i="1"/>
  <c r="C20" i="1" s="1"/>
  <c r="D20" i="2"/>
  <c r="C20" i="2" s="1"/>
  <c r="D20" i="9"/>
  <c r="C20" i="9" s="1"/>
  <c r="D20" i="5"/>
  <c r="D20" i="10"/>
  <c r="C20" i="10" s="1"/>
  <c r="D20" i="7"/>
  <c r="C20" i="7" s="1"/>
  <c r="D20" i="14"/>
  <c r="C20" i="14" s="1"/>
  <c r="D20" i="3"/>
  <c r="D20" i="21"/>
  <c r="C20" i="21" s="1"/>
  <c r="D20" i="15"/>
  <c r="C20" i="15" s="1"/>
  <c r="D20" i="8"/>
  <c r="C20" i="8" s="1"/>
  <c r="D20" i="4"/>
  <c r="D20" i="18"/>
  <c r="C20" i="18" s="1"/>
  <c r="D20" i="22"/>
  <c r="C20" i="22" s="1"/>
  <c r="D20" i="23"/>
  <c r="C20" i="23" s="1"/>
  <c r="D20" i="6"/>
  <c r="D20" i="17"/>
  <c r="C20" i="17" s="1"/>
  <c r="D20" i="24"/>
  <c r="C20" i="24" s="1"/>
  <c r="D20" i="16"/>
  <c r="C20" i="16" s="1"/>
  <c r="D20" i="11"/>
  <c r="D20" i="25"/>
  <c r="C20" i="25" s="1"/>
  <c r="D20" i="19"/>
  <c r="C20" i="19" s="1"/>
  <c r="D20" i="13"/>
  <c r="C20" i="13" s="1"/>
  <c r="D20" i="20"/>
  <c r="D20" i="26"/>
  <c r="C20" i="26" s="1"/>
  <c r="H10" i="1"/>
  <c r="H10" i="2"/>
  <c r="H10" i="9"/>
  <c r="H10" i="5"/>
  <c r="H10" i="10"/>
  <c r="H10" i="7"/>
  <c r="H10" i="14"/>
  <c r="H10" i="3"/>
  <c r="H10" i="21"/>
  <c r="H10" i="15"/>
  <c r="H10" i="8"/>
  <c r="H10" i="4"/>
  <c r="H10" i="18"/>
  <c r="H10" i="22"/>
  <c r="H10" i="23"/>
  <c r="H10" i="6"/>
  <c r="H10" i="17"/>
  <c r="H10" i="24"/>
  <c r="H10" i="16"/>
  <c r="H10" i="11"/>
  <c r="H10" i="25"/>
  <c r="H10" i="19"/>
  <c r="H10" i="13"/>
  <c r="H10" i="20"/>
  <c r="H10" i="26"/>
  <c r="K11" i="26" l="1"/>
  <c r="P7" i="26"/>
  <c r="O7" i="26"/>
  <c r="L7" i="26"/>
  <c r="K7" i="26" s="1"/>
  <c r="P6" i="26"/>
  <c r="O6" i="26"/>
  <c r="L6" i="26"/>
  <c r="P5" i="26"/>
  <c r="P10" i="26" s="1"/>
  <c r="O5" i="26"/>
  <c r="O10" i="26" s="1"/>
  <c r="L5" i="26"/>
  <c r="K5" i="26" s="1"/>
  <c r="K11" i="25"/>
  <c r="P7" i="25"/>
  <c r="O7" i="25"/>
  <c r="L7" i="25"/>
  <c r="K7" i="25" s="1"/>
  <c r="P6" i="25"/>
  <c r="O6" i="25"/>
  <c r="L6" i="25"/>
  <c r="K6" i="25" s="1"/>
  <c r="P5" i="25"/>
  <c r="P10" i="25" s="1"/>
  <c r="O5" i="25"/>
  <c r="O10" i="25" s="1"/>
  <c r="L5" i="25"/>
  <c r="K5" i="25" s="1"/>
  <c r="K11" i="23"/>
  <c r="P7" i="23"/>
  <c r="O7" i="23"/>
  <c r="L7" i="23"/>
  <c r="K7" i="23" s="1"/>
  <c r="P6" i="23"/>
  <c r="O6" i="23"/>
  <c r="L6" i="23"/>
  <c r="K6" i="23" s="1"/>
  <c r="P5" i="23"/>
  <c r="P10" i="23" s="1"/>
  <c r="O5" i="23"/>
  <c r="O10" i="23" s="1"/>
  <c r="L5" i="23"/>
  <c r="K5" i="23" s="1"/>
  <c r="K11" i="22"/>
  <c r="P7" i="22"/>
  <c r="O7" i="22"/>
  <c r="L7" i="22"/>
  <c r="K7" i="22" s="1"/>
  <c r="P6" i="22"/>
  <c r="O6" i="22"/>
  <c r="L6" i="22"/>
  <c r="K6" i="22" s="1"/>
  <c r="P5" i="22"/>
  <c r="P10" i="22" s="1"/>
  <c r="O5" i="22"/>
  <c r="O10" i="22" s="1"/>
  <c r="L5" i="22"/>
  <c r="K5" i="22" s="1"/>
  <c r="K11" i="21"/>
  <c r="P7" i="21"/>
  <c r="O7" i="21"/>
  <c r="L7" i="21"/>
  <c r="K7" i="21" s="1"/>
  <c r="P6" i="21"/>
  <c r="O6" i="21"/>
  <c r="L6" i="21"/>
  <c r="K6" i="21" s="1"/>
  <c r="P5" i="21"/>
  <c r="P10" i="21" s="1"/>
  <c r="O5" i="21"/>
  <c r="O10" i="21" s="1"/>
  <c r="L5" i="21"/>
  <c r="K5" i="21" s="1"/>
  <c r="K11" i="20"/>
  <c r="P7" i="20"/>
  <c r="O7" i="20"/>
  <c r="L7" i="20"/>
  <c r="K7" i="20" s="1"/>
  <c r="P6" i="20"/>
  <c r="O6" i="20"/>
  <c r="L6" i="20"/>
  <c r="K6" i="20" s="1"/>
  <c r="P5" i="20"/>
  <c r="P10" i="20" s="1"/>
  <c r="O5" i="20"/>
  <c r="O10" i="20" s="1"/>
  <c r="L5" i="20"/>
  <c r="K5" i="20" s="1"/>
  <c r="K11" i="16"/>
  <c r="P7" i="16"/>
  <c r="O7" i="16"/>
  <c r="L7" i="16"/>
  <c r="K7" i="16" s="1"/>
  <c r="P6" i="16"/>
  <c r="O6" i="16"/>
  <c r="L6" i="16"/>
  <c r="K6" i="16" s="1"/>
  <c r="P5" i="16"/>
  <c r="P10" i="16" s="1"/>
  <c r="O5" i="16"/>
  <c r="O10" i="16" s="1"/>
  <c r="L5" i="16"/>
  <c r="K5" i="16" s="1"/>
  <c r="K11" i="18"/>
  <c r="P7" i="18"/>
  <c r="O7" i="18"/>
  <c r="L7" i="18"/>
  <c r="K7" i="18" s="1"/>
  <c r="P6" i="18"/>
  <c r="O6" i="18"/>
  <c r="L6" i="18"/>
  <c r="K6" i="18" s="1"/>
  <c r="P5" i="18"/>
  <c r="P10" i="18" s="1"/>
  <c r="O5" i="18"/>
  <c r="O10" i="18" s="1"/>
  <c r="L5" i="18"/>
  <c r="K5" i="18" s="1"/>
  <c r="K11" i="13"/>
  <c r="P7" i="13"/>
  <c r="O7" i="13"/>
  <c r="L7" i="13"/>
  <c r="K7" i="13" s="1"/>
  <c r="P6" i="13"/>
  <c r="O6" i="13"/>
  <c r="L6" i="13"/>
  <c r="K6" i="13" s="1"/>
  <c r="P5" i="13"/>
  <c r="P10" i="13" s="1"/>
  <c r="O5" i="13"/>
  <c r="O10" i="13" s="1"/>
  <c r="L5" i="13"/>
  <c r="K5" i="13" s="1"/>
  <c r="K11" i="11"/>
  <c r="P7" i="11"/>
  <c r="O7" i="11"/>
  <c r="L7" i="11"/>
  <c r="K7" i="11" s="1"/>
  <c r="P6" i="11"/>
  <c r="O6" i="11"/>
  <c r="L6" i="11"/>
  <c r="K6" i="11" s="1"/>
  <c r="P5" i="11"/>
  <c r="P10" i="11" s="1"/>
  <c r="O5" i="11"/>
  <c r="O10" i="11" s="1"/>
  <c r="L5" i="11"/>
  <c r="K5" i="11" s="1"/>
  <c r="K11" i="6"/>
  <c r="P7" i="6"/>
  <c r="O7" i="6"/>
  <c r="L7" i="6"/>
  <c r="K7" i="6" s="1"/>
  <c r="P6" i="6"/>
  <c r="O6" i="6"/>
  <c r="L6" i="6"/>
  <c r="K6" i="6" s="1"/>
  <c r="P5" i="6"/>
  <c r="P10" i="6" s="1"/>
  <c r="O5" i="6"/>
  <c r="L5" i="6"/>
  <c r="K5" i="6"/>
  <c r="R7" i="14"/>
  <c r="R6" i="14"/>
  <c r="R5" i="14"/>
  <c r="R10" i="14" s="1"/>
  <c r="R7" i="10"/>
  <c r="R6" i="10"/>
  <c r="R5" i="10"/>
  <c r="R10" i="10" s="1"/>
  <c r="R7" i="1"/>
  <c r="R6" i="1"/>
  <c r="R5" i="1"/>
  <c r="L11" i="14"/>
  <c r="Q7" i="14"/>
  <c r="N7" i="14"/>
  <c r="L7" i="14" s="1"/>
  <c r="Q6" i="14"/>
  <c r="N6" i="14"/>
  <c r="L6" i="14" s="1"/>
  <c r="Q5" i="14"/>
  <c r="Q10" i="14" s="1"/>
  <c r="N5" i="14"/>
  <c r="L5" i="14" s="1"/>
  <c r="M5" i="14"/>
  <c r="L11" i="10"/>
  <c r="Q7" i="10"/>
  <c r="N7" i="10"/>
  <c r="L7" i="10" s="1"/>
  <c r="Q6" i="10"/>
  <c r="N6" i="10"/>
  <c r="L6" i="10" s="1"/>
  <c r="Q5" i="10"/>
  <c r="Q10" i="10" s="1"/>
  <c r="N5" i="10"/>
  <c r="L5" i="10" s="1"/>
  <c r="M5" i="10"/>
  <c r="N7" i="1"/>
  <c r="N6" i="1"/>
  <c r="N5" i="1"/>
  <c r="Q7" i="1"/>
  <c r="Q6" i="1"/>
  <c r="Q5" i="1"/>
  <c r="Q10" i="1" s="1"/>
  <c r="K6" i="26" l="1"/>
  <c r="L10" i="26"/>
  <c r="K10" i="26" s="1"/>
  <c r="L10" i="25"/>
  <c r="K10" i="25" s="1"/>
  <c r="L10" i="23"/>
  <c r="K10" i="23" s="1"/>
  <c r="L10" i="22"/>
  <c r="K10" i="22" s="1"/>
  <c r="L10" i="21"/>
  <c r="K10" i="21" s="1"/>
  <c r="L10" i="20"/>
  <c r="K10" i="20" s="1"/>
  <c r="L10" i="16"/>
  <c r="K10" i="16" s="1"/>
  <c r="L10" i="18"/>
  <c r="K10" i="18" s="1"/>
  <c r="L10" i="13"/>
  <c r="K10" i="13" s="1"/>
  <c r="L10" i="11"/>
  <c r="K10" i="11" s="1"/>
  <c r="O10" i="6"/>
  <c r="L10" i="6"/>
  <c r="K10" i="6" s="1"/>
  <c r="N10" i="14"/>
  <c r="L10" i="14" s="1"/>
  <c r="N10" i="10"/>
  <c r="L10" i="10" s="1"/>
  <c r="N10" i="1"/>
  <c r="R10" i="1"/>
  <c r="AD5" i="28"/>
  <c r="W6" i="28"/>
  <c r="V17" i="28"/>
  <c r="V23" i="28"/>
  <c r="AC6" i="28"/>
  <c r="W5" i="28"/>
  <c r="AP6" i="28"/>
  <c r="AE7" i="28"/>
  <c r="V14" i="28"/>
  <c r="AQ19" i="28"/>
  <c r="AJ16" i="28"/>
  <c r="AP9" i="28"/>
  <c r="AB11" i="28"/>
  <c r="AK25" i="28"/>
  <c r="W16" i="28"/>
  <c r="W14" i="28"/>
  <c r="AL7" i="28"/>
  <c r="AJ22" i="28"/>
  <c r="AC27" i="28"/>
  <c r="AS22" i="28"/>
  <c r="AJ8" i="28"/>
  <c r="X11" i="28"/>
  <c r="AK5" i="28"/>
  <c r="V8" i="28"/>
  <c r="AL21" i="28"/>
  <c r="AS14" i="28"/>
  <c r="AC13" i="28"/>
  <c r="AQ23" i="28"/>
  <c r="V18" i="28"/>
  <c r="AE13" i="28"/>
  <c r="AS24" i="28"/>
  <c r="X8" i="28"/>
  <c r="AQ5" i="28"/>
  <c r="AB12" i="28"/>
  <c r="AI7" i="28"/>
  <c r="AB15" i="28"/>
  <c r="AI5" i="28"/>
  <c r="AL13" i="28"/>
  <c r="AE9" i="28"/>
  <c r="AC14" i="28"/>
  <c r="AQ10" i="28"/>
  <c r="AJ20" i="28"/>
  <c r="AJ23" i="28"/>
  <c r="V24" i="28"/>
  <c r="AS11" i="28"/>
  <c r="X19" i="28"/>
  <c r="AC9" i="28"/>
  <c r="AQ18" i="28"/>
  <c r="AL6" i="28"/>
  <c r="AB4" i="28"/>
  <c r="AD4" i="28"/>
  <c r="V26" i="28"/>
  <c r="AS19" i="28"/>
  <c r="AJ21" i="28"/>
  <c r="U22" i="28"/>
  <c r="AP28" i="28"/>
  <c r="AE11" i="28"/>
  <c r="AI25" i="28"/>
  <c r="AQ17" i="28"/>
  <c r="AR4" i="28"/>
  <c r="AD19" i="28"/>
  <c r="V21" i="28"/>
  <c r="AC7" i="28"/>
  <c r="AB5" i="28"/>
  <c r="AR26" i="28"/>
  <c r="X28" i="28"/>
  <c r="V27" i="28"/>
  <c r="AE24" i="28"/>
  <c r="AK16" i="28"/>
  <c r="AD26" i="28"/>
  <c r="AK11" i="28"/>
  <c r="AC16" i="28"/>
  <c r="U11" i="28"/>
  <c r="U7" i="28"/>
  <c r="U4" i="28"/>
  <c r="V28" i="28"/>
  <c r="AQ15" i="28"/>
  <c r="AL23" i="28"/>
  <c r="AD23" i="28"/>
  <c r="W10" i="28"/>
  <c r="AK14" i="28"/>
  <c r="X26" i="28"/>
  <c r="AK18" i="28"/>
  <c r="AR28" i="28"/>
  <c r="AB10" i="28"/>
  <c r="X24" i="28"/>
  <c r="AE12" i="28"/>
  <c r="AQ20" i="28"/>
  <c r="W27" i="28"/>
  <c r="AS15" i="28"/>
  <c r="AL20" i="28"/>
  <c r="AS7" i="28"/>
  <c r="AE21" i="28"/>
  <c r="AL10" i="28"/>
  <c r="AL24" i="28"/>
  <c r="AC25" i="28"/>
  <c r="AP12" i="28"/>
  <c r="AJ24" i="28"/>
  <c r="AL19" i="28"/>
  <c r="AD27" i="28"/>
  <c r="AC28" i="28"/>
  <c r="AE10" i="28"/>
  <c r="AK27" i="28"/>
  <c r="AJ10" i="28"/>
  <c r="X12" i="28"/>
  <c r="X21" i="28"/>
  <c r="AR5" i="28"/>
  <c r="AJ17" i="28"/>
  <c r="AC8" i="28"/>
  <c r="AD18" i="28"/>
  <c r="AR25" i="28"/>
  <c r="W20" i="28"/>
  <c r="AS23" i="28"/>
  <c r="AK22" i="28"/>
  <c r="W25" i="28"/>
  <c r="AD15" i="28"/>
  <c r="AR12" i="28"/>
  <c r="AC26" i="28"/>
  <c r="AC20" i="28"/>
  <c r="V25" i="28"/>
  <c r="V16" i="28"/>
  <c r="X18" i="28"/>
  <c r="AI11" i="28"/>
  <c r="AS16" i="28"/>
  <c r="AE17" i="28"/>
  <c r="AJ27" i="28"/>
  <c r="AR20" i="28"/>
  <c r="AQ22" i="28"/>
  <c r="AJ28" i="28"/>
  <c r="AQ25" i="28"/>
  <c r="AJ9" i="28"/>
  <c r="AQ24" i="28"/>
  <c r="V13" i="28"/>
  <c r="AJ26" i="28"/>
  <c r="AQ26" i="28"/>
  <c r="AB23" i="28"/>
  <c r="U19" i="28"/>
  <c r="AQ27" i="28"/>
  <c r="AQ21" i="28"/>
  <c r="W22" i="28"/>
  <c r="V9" i="28"/>
  <c r="AQ16" i="28"/>
  <c r="AL12" i="28"/>
  <c r="X13" i="28"/>
  <c r="AL8" i="28"/>
  <c r="AD14" i="28"/>
  <c r="W17" i="28"/>
  <c r="AR8" i="28"/>
  <c r="AC24" i="28"/>
  <c r="AL17" i="28"/>
  <c r="AE28" i="28"/>
  <c r="AP13" i="28"/>
  <c r="AI4" i="28"/>
  <c r="AI12" i="28"/>
  <c r="U20" i="28"/>
  <c r="AD8" i="28"/>
  <c r="V10" i="28"/>
  <c r="V15" i="28"/>
  <c r="AR10" i="28"/>
  <c r="X9" i="28"/>
  <c r="AS9" i="28"/>
  <c r="AQ14" i="28"/>
  <c r="AJ19" i="28"/>
  <c r="AK26" i="28"/>
  <c r="X15" i="28"/>
  <c r="AJ6" i="28"/>
  <c r="V12" i="28"/>
  <c r="AS13" i="28"/>
  <c r="W4" i="28"/>
  <c r="AR6" i="28"/>
  <c r="X23" i="28"/>
  <c r="AE20" i="28"/>
  <c r="AS21" i="28"/>
  <c r="AC18" i="28"/>
  <c r="AI13" i="28"/>
  <c r="AL9" i="28"/>
  <c r="AS18" i="28"/>
  <c r="AE25" i="28"/>
  <c r="AR17" i="28"/>
  <c r="AJ18" i="28"/>
  <c r="AE6" i="28"/>
  <c r="AP4" i="28"/>
  <c r="AJ14" i="28"/>
  <c r="AD16" i="28"/>
  <c r="AC17" i="28"/>
  <c r="AQ7" i="28"/>
  <c r="AC21" i="28"/>
  <c r="AC19" i="28"/>
  <c r="AC22" i="28"/>
  <c r="AK4" i="28"/>
  <c r="AL28" i="28"/>
  <c r="V6" i="28"/>
  <c r="AE22" i="28"/>
  <c r="X7" i="28"/>
  <c r="AS27" i="28"/>
  <c r="AK15" i="28"/>
  <c r="AP11" i="28"/>
  <c r="AJ15" i="28"/>
  <c r="AQ8" i="28"/>
  <c r="U5" i="28"/>
  <c r="Y5" i="28" l="1"/>
  <c r="AT8" i="28"/>
  <c r="AM15" i="28"/>
  <c r="AT11" i="28"/>
  <c r="Y6" i="28"/>
  <c r="AF22" i="28"/>
  <c r="AF19" i="28"/>
  <c r="AF21" i="28"/>
  <c r="AT7" i="28"/>
  <c r="AF17" i="28"/>
  <c r="AM14" i="28"/>
  <c r="AT4" i="28"/>
  <c r="AM18" i="28"/>
  <c r="AM13" i="28"/>
  <c r="AF18" i="28"/>
  <c r="Y12" i="28"/>
  <c r="AM6" i="28"/>
  <c r="AM19" i="28"/>
  <c r="AT14" i="28"/>
  <c r="Y15" i="28"/>
  <c r="Y10" i="28"/>
  <c r="Y20" i="28"/>
  <c r="AM12" i="28"/>
  <c r="AM4" i="28"/>
  <c r="AT13" i="28"/>
  <c r="AF24" i="28"/>
  <c r="AT16" i="28"/>
  <c r="Y9" i="28"/>
  <c r="AT21" i="28"/>
  <c r="AT27" i="28"/>
  <c r="Y19" i="28"/>
  <c r="AF23" i="28"/>
  <c r="AT26" i="28"/>
  <c r="AM26" i="28"/>
  <c r="Y13" i="28"/>
  <c r="AT24" i="28"/>
  <c r="AM9" i="28"/>
  <c r="AT25" i="28"/>
  <c r="AM28" i="28"/>
  <c r="AT22" i="28"/>
  <c r="AM27" i="28"/>
  <c r="AM11" i="28"/>
  <c r="Y16" i="28"/>
  <c r="Y25" i="28"/>
  <c r="AF20" i="28"/>
  <c r="AF26" i="28"/>
  <c r="AF8" i="28"/>
  <c r="AM17" i="28"/>
  <c r="AM10" i="28"/>
  <c r="AF28" i="28"/>
  <c r="AM24" i="28"/>
  <c r="AT12" i="28"/>
  <c r="AF25" i="28"/>
  <c r="AT20" i="28"/>
  <c r="AF10" i="28"/>
  <c r="AT15" i="28"/>
  <c r="Y28" i="28"/>
  <c r="Y4" i="28"/>
  <c r="Y7" i="28"/>
  <c r="Y11" i="28"/>
  <c r="AF16" i="28"/>
  <c r="Y27" i="28"/>
  <c r="AF5" i="28"/>
  <c r="AF7" i="28"/>
  <c r="Y21" i="28"/>
  <c r="AT17" i="28"/>
  <c r="AM25" i="28"/>
  <c r="AT28" i="28"/>
  <c r="Y22" i="28"/>
  <c r="AM21" i="28"/>
  <c r="Y26" i="28"/>
  <c r="AF4" i="28"/>
  <c r="AT18" i="28"/>
  <c r="AF9" i="28"/>
  <c r="Y24" i="28"/>
  <c r="AM23" i="28"/>
  <c r="AM20" i="28"/>
  <c r="AT10" i="28"/>
  <c r="AF14" i="28"/>
  <c r="AM5" i="28"/>
  <c r="AF15" i="28"/>
  <c r="AM7" i="28"/>
  <c r="AF12" i="28"/>
  <c r="AT5" i="28"/>
  <c r="Y18" i="28"/>
  <c r="AT23" i="28"/>
  <c r="AF13" i="28"/>
  <c r="Y8" i="28"/>
  <c r="AM8" i="28"/>
  <c r="AF27" i="28"/>
  <c r="AM22" i="28"/>
  <c r="AF11" i="28"/>
  <c r="AT9" i="28"/>
  <c r="AM16" i="28"/>
  <c r="AT19" i="28"/>
  <c r="Y14" i="28"/>
  <c r="AT6" i="28"/>
  <c r="AF6" i="28"/>
  <c r="Y23" i="28"/>
  <c r="Y17" i="28"/>
  <c r="L11" i="1"/>
  <c r="L10" i="1"/>
  <c r="L7" i="1"/>
  <c r="L6" i="1"/>
  <c r="M5" i="1"/>
  <c r="L5" i="1"/>
  <c r="C8" i="26" l="1"/>
  <c r="C18" i="26"/>
  <c r="C17" i="26"/>
  <c r="C15" i="26"/>
  <c r="C12" i="26"/>
  <c r="C26" i="26"/>
  <c r="C25" i="26"/>
  <c r="C24" i="26"/>
  <c r="C21" i="26"/>
  <c r="C14" i="26"/>
  <c r="C7" i="26"/>
  <c r="C6" i="26"/>
  <c r="C5" i="26"/>
  <c r="C14" i="25" l="1"/>
  <c r="C26" i="25" l="1"/>
  <c r="C25" i="25"/>
  <c r="C24" i="25"/>
  <c r="C21" i="25"/>
  <c r="C7" i="25"/>
  <c r="C6" i="25"/>
  <c r="C5" i="25"/>
  <c r="C24" i="24" l="1"/>
  <c r="C19" i="24"/>
  <c r="K26" i="24"/>
  <c r="C26" i="24"/>
  <c r="K25" i="24"/>
  <c r="C25" i="24"/>
  <c r="K24" i="24"/>
  <c r="K21" i="24"/>
  <c r="C21" i="24"/>
  <c r="P20" i="24"/>
  <c r="M20" i="24"/>
  <c r="L20" i="24"/>
  <c r="K20" i="24" s="1"/>
  <c r="C15" i="24"/>
  <c r="C14" i="24"/>
  <c r="K12" i="24"/>
  <c r="K11" i="24"/>
  <c r="K10" i="24"/>
  <c r="C8" i="24"/>
  <c r="C7" i="24"/>
  <c r="K5" i="24"/>
  <c r="C5" i="24"/>
  <c r="E10" i="23" l="1"/>
  <c r="E5" i="23"/>
  <c r="C15" i="23"/>
  <c r="C14" i="23"/>
  <c r="C12" i="23"/>
  <c r="C26" i="23"/>
  <c r="C25" i="23"/>
  <c r="C24" i="23"/>
  <c r="C21" i="23"/>
  <c r="C8" i="23"/>
  <c r="C7" i="23"/>
  <c r="C6" i="23"/>
  <c r="C5" i="23"/>
  <c r="C24" i="22" l="1"/>
  <c r="C21" i="22"/>
  <c r="C18" i="22"/>
  <c r="C8" i="22"/>
  <c r="C7" i="22"/>
  <c r="C6" i="22"/>
  <c r="C26" i="22"/>
  <c r="C25" i="22"/>
  <c r="C5" i="22"/>
  <c r="C26" i="21" l="1"/>
  <c r="E5" i="21"/>
  <c r="C5" i="21" s="1"/>
  <c r="C15" i="21"/>
  <c r="C14" i="21"/>
  <c r="C25" i="21"/>
  <c r="C12" i="20" l="1"/>
  <c r="C25" i="20" l="1"/>
  <c r="C5" i="20"/>
  <c r="P20" i="19"/>
  <c r="O20" i="19"/>
  <c r="M20" i="19"/>
  <c r="L20" i="19"/>
  <c r="C19" i="19" l="1"/>
  <c r="E10" i="19"/>
  <c r="K26" i="19"/>
  <c r="C26" i="19"/>
  <c r="K25" i="19"/>
  <c r="C25" i="19"/>
  <c r="K24" i="19"/>
  <c r="K21" i="19"/>
  <c r="C21" i="19"/>
  <c r="K20" i="19"/>
  <c r="C15" i="19"/>
  <c r="C14" i="19"/>
  <c r="K12" i="19"/>
  <c r="K11" i="19"/>
  <c r="K10" i="19"/>
  <c r="C8" i="19"/>
  <c r="K7" i="19"/>
  <c r="C7" i="19"/>
  <c r="K6" i="19"/>
  <c r="C6" i="19"/>
  <c r="K5" i="19"/>
  <c r="C5" i="19" l="1"/>
  <c r="E10" i="16" l="1"/>
  <c r="C15" i="16"/>
  <c r="C26" i="18"/>
  <c r="C25" i="18"/>
  <c r="C24" i="18"/>
  <c r="C21" i="18"/>
  <c r="C8" i="18"/>
  <c r="C7" i="18"/>
  <c r="C6" i="18"/>
  <c r="C5" i="18"/>
  <c r="C26" i="17" l="1"/>
  <c r="K25" i="17"/>
  <c r="C25" i="17"/>
  <c r="K24" i="17"/>
  <c r="C24" i="17"/>
  <c r="K21" i="17"/>
  <c r="C21" i="17"/>
  <c r="P20" i="17"/>
  <c r="L20" i="17"/>
  <c r="K11" i="17"/>
  <c r="K10" i="17"/>
  <c r="C8" i="17"/>
  <c r="K7" i="17"/>
  <c r="C7" i="17"/>
  <c r="K6" i="17"/>
  <c r="C6" i="17"/>
  <c r="K5" i="17"/>
  <c r="C5" i="17"/>
  <c r="K20" i="17" l="1"/>
  <c r="C25" i="16" l="1"/>
  <c r="C24" i="16"/>
  <c r="C21" i="16"/>
  <c r="C7" i="16"/>
  <c r="C6" i="16"/>
  <c r="C5" i="16"/>
  <c r="K24" i="15" l="1"/>
  <c r="C15" i="15" l="1"/>
  <c r="C8" i="15"/>
  <c r="E5" i="15"/>
  <c r="E10" i="15" s="1"/>
  <c r="E20" i="15"/>
  <c r="K25" i="15"/>
  <c r="C25" i="15"/>
  <c r="C24" i="15"/>
  <c r="K21" i="15"/>
  <c r="C21" i="15"/>
  <c r="P20" i="15"/>
  <c r="O20" i="15"/>
  <c r="M20" i="15"/>
  <c r="L20" i="15"/>
  <c r="K12" i="15"/>
  <c r="K11" i="15"/>
  <c r="K10" i="15"/>
  <c r="K7" i="15"/>
  <c r="C7" i="15"/>
  <c r="K6" i="15"/>
  <c r="C6" i="15"/>
  <c r="K5" i="15"/>
  <c r="K20" i="15" l="1"/>
  <c r="C5" i="15"/>
  <c r="E5" i="11" l="1"/>
  <c r="E10" i="11" s="1"/>
  <c r="G20" i="11"/>
  <c r="F20" i="11"/>
  <c r="E20" i="11"/>
  <c r="G10" i="11"/>
  <c r="F10" i="11"/>
  <c r="C26" i="11" l="1"/>
  <c r="C25" i="11"/>
  <c r="C24" i="11"/>
  <c r="C21" i="11"/>
  <c r="C15" i="11"/>
  <c r="C14" i="11"/>
  <c r="C12" i="11"/>
  <c r="C8" i="11"/>
  <c r="C7" i="11"/>
  <c r="C6" i="11"/>
  <c r="C5" i="11"/>
  <c r="L12" i="9" l="1"/>
  <c r="L25" i="9" l="1"/>
  <c r="L21" i="9"/>
  <c r="Q20" i="9"/>
  <c r="P20" i="9"/>
  <c r="O20" i="9"/>
  <c r="N20" i="9"/>
  <c r="L11" i="9"/>
  <c r="L10" i="9"/>
  <c r="L7" i="9"/>
  <c r="L6" i="9"/>
  <c r="M5" i="9"/>
  <c r="L5" i="9"/>
  <c r="L20" i="9" l="1"/>
  <c r="C26" i="8"/>
  <c r="C25" i="8"/>
  <c r="C24" i="8"/>
  <c r="C21" i="8"/>
  <c r="C14" i="8"/>
  <c r="C12" i="8"/>
  <c r="C7" i="8"/>
  <c r="C6" i="8"/>
  <c r="C5" i="8"/>
  <c r="E5" i="8"/>
  <c r="L26" i="8"/>
  <c r="L25" i="8"/>
  <c r="L21" i="8"/>
  <c r="Q20" i="8"/>
  <c r="P20" i="8"/>
  <c r="N20" i="8"/>
  <c r="M20" i="8"/>
  <c r="L12" i="8"/>
  <c r="L11" i="8"/>
  <c r="L10" i="8"/>
  <c r="L7" i="8"/>
  <c r="L6" i="8"/>
  <c r="L5" i="8"/>
  <c r="L20" i="8" l="1"/>
  <c r="L12" i="7"/>
  <c r="L26" i="7" l="1"/>
  <c r="R20" i="7"/>
  <c r="L25" i="7"/>
  <c r="L21" i="7"/>
  <c r="Q20" i="7"/>
  <c r="O20" i="7"/>
  <c r="N20" i="7"/>
  <c r="L11" i="7"/>
  <c r="L10" i="7"/>
  <c r="L7" i="7"/>
  <c r="L6" i="7"/>
  <c r="M5" i="7"/>
  <c r="L5" i="7"/>
  <c r="L20" i="7" l="1"/>
  <c r="C26" i="6" l="1"/>
  <c r="C25" i="6"/>
  <c r="C24" i="6"/>
  <c r="C21" i="6"/>
  <c r="C18" i="6"/>
  <c r="C14" i="6"/>
  <c r="C12" i="6"/>
  <c r="C7" i="6"/>
  <c r="C5" i="6"/>
  <c r="C6" i="6"/>
  <c r="I10" i="6"/>
  <c r="G10" i="6"/>
  <c r="I20" i="6"/>
  <c r="G20" i="6"/>
  <c r="R20" i="5" l="1"/>
  <c r="N20" i="5"/>
  <c r="L20" i="5" s="1"/>
  <c r="L11" i="5"/>
  <c r="L10" i="5"/>
  <c r="L7" i="5"/>
  <c r="L6" i="5"/>
  <c r="M5" i="5"/>
  <c r="L5" i="5"/>
  <c r="K12" i="4" l="1"/>
  <c r="K26" i="4"/>
  <c r="K24" i="4"/>
  <c r="P20" i="4"/>
  <c r="K25" i="4" l="1"/>
  <c r="K21" i="4"/>
  <c r="O20" i="4"/>
  <c r="N20" i="4"/>
  <c r="M20" i="4"/>
  <c r="L20" i="4"/>
  <c r="K11" i="4"/>
  <c r="K10" i="4"/>
  <c r="K7" i="4"/>
  <c r="K6" i="4"/>
  <c r="K5" i="4"/>
  <c r="K20" i="4" l="1"/>
  <c r="K26" i="3" l="1"/>
  <c r="K25" i="3"/>
  <c r="K24" i="3"/>
  <c r="K21" i="3"/>
  <c r="P20" i="3"/>
  <c r="O20" i="3"/>
  <c r="N20" i="3"/>
  <c r="M20" i="3"/>
  <c r="L20" i="3"/>
  <c r="K12" i="3"/>
  <c r="K11" i="3"/>
  <c r="K10" i="3"/>
  <c r="K7" i="3"/>
  <c r="K6" i="3"/>
  <c r="K5" i="3"/>
  <c r="K20" i="3" l="1"/>
  <c r="E5" i="3" l="1"/>
  <c r="C5" i="3" s="1"/>
  <c r="C26" i="3"/>
  <c r="C25" i="3"/>
  <c r="C24" i="3"/>
  <c r="C21" i="3"/>
  <c r="C15" i="3"/>
  <c r="C14" i="3"/>
  <c r="C12" i="3"/>
  <c r="C8" i="3"/>
  <c r="C7" i="3"/>
  <c r="C6" i="3"/>
  <c r="E10" i="3" l="1"/>
  <c r="L11" i="2" l="1"/>
  <c r="L10" i="2"/>
  <c r="M5" i="2" l="1"/>
  <c r="L5" i="2"/>
  <c r="L25" i="2"/>
  <c r="L21" i="2"/>
  <c r="L7" i="2"/>
  <c r="L6" i="2"/>
  <c r="Q20" i="2"/>
  <c r="P20" i="2"/>
  <c r="O20" i="2"/>
  <c r="N20" i="2"/>
  <c r="L20" i="2" l="1"/>
</calcChain>
</file>

<file path=xl/sharedStrings.xml><?xml version="1.0" encoding="utf-8"?>
<sst xmlns="http://schemas.openxmlformats.org/spreadsheetml/2006/main" count="1816" uniqueCount="102">
  <si>
    <t>Supply and consumption</t>
  </si>
  <si>
    <t>Production</t>
  </si>
  <si>
    <t>Imports</t>
  </si>
  <si>
    <t>Exports</t>
  </si>
  <si>
    <t>Stock changes</t>
  </si>
  <si>
    <t>International Bunkers</t>
  </si>
  <si>
    <t>Domestic supply</t>
  </si>
  <si>
    <t>Statistical Differences</t>
  </si>
  <si>
    <t>Power plants</t>
  </si>
  <si>
    <t>CHP plants</t>
  </si>
  <si>
    <t>Commercial heat plants</t>
  </si>
  <si>
    <t>Charcoal production</t>
  </si>
  <si>
    <t>Other transformation</t>
  </si>
  <si>
    <t>Energy sector and own use</t>
  </si>
  <si>
    <t>Distribution losses</t>
  </si>
  <si>
    <t>Total final consumption</t>
  </si>
  <si>
    <t>Industry sector</t>
  </si>
  <si>
    <t>Transport sector</t>
  </si>
  <si>
    <t xml:space="preserve">     of which road transport</t>
  </si>
  <si>
    <t>Commercial and public services</t>
  </si>
  <si>
    <t>Residential</t>
  </si>
  <si>
    <t>Other</t>
  </si>
  <si>
    <t>Net calorific value (MJ/t)</t>
  </si>
  <si>
    <t>Woodfuel</t>
  </si>
  <si>
    <t>Wood waste</t>
  </si>
  <si>
    <t>Black liquor</t>
  </si>
  <si>
    <t>Bagasse</t>
  </si>
  <si>
    <t>Charcoal</t>
  </si>
  <si>
    <t>Tonnes</t>
  </si>
  <si>
    <t>TJ</t>
  </si>
  <si>
    <t>Primary solid biomass</t>
  </si>
  <si>
    <t>Other veg.</t>
  </si>
  <si>
    <t>Other PSB</t>
  </si>
  <si>
    <t>Pellets</t>
  </si>
  <si>
    <t xml:space="preserve">Pellet production </t>
  </si>
  <si>
    <t/>
  </si>
  <si>
    <t>Belgium</t>
  </si>
  <si>
    <t>Canada</t>
  </si>
  <si>
    <t>IRENA (IEA)</t>
  </si>
  <si>
    <t>Woodfuel WW and pellets</t>
  </si>
  <si>
    <t>JWEE</t>
  </si>
  <si>
    <t>PSB from wood</t>
  </si>
  <si>
    <t>Austria</t>
  </si>
  <si>
    <t xml:space="preserve">IRENA </t>
  </si>
  <si>
    <t>Finland</t>
  </si>
  <si>
    <t>IRENA</t>
  </si>
  <si>
    <t>Hungary</t>
  </si>
  <si>
    <t>Straw</t>
  </si>
  <si>
    <t>Lithuania</t>
  </si>
  <si>
    <t>Netherlands</t>
  </si>
  <si>
    <t>Czechia</t>
  </si>
  <si>
    <t>IRENA (IEA+National data)</t>
  </si>
  <si>
    <t>Germany</t>
  </si>
  <si>
    <t>Italy</t>
  </si>
  <si>
    <t>Portugal</t>
  </si>
  <si>
    <t>Slovakia</t>
  </si>
  <si>
    <t>Spain</t>
  </si>
  <si>
    <t>Croatia</t>
  </si>
  <si>
    <t>Note: IRENA data includes results of new household wood energy survey</t>
  </si>
  <si>
    <t>Georgia</t>
  </si>
  <si>
    <t>Macedonia</t>
  </si>
  <si>
    <t>Montenegro</t>
  </si>
  <si>
    <r>
      <t>9176.4MJ/m</t>
    </r>
    <r>
      <rPr>
        <vertAlign val="superscript"/>
        <sz val="10"/>
        <color theme="1"/>
        <rFont val="Calibri"/>
        <family val="2"/>
        <scheme val="minor"/>
      </rPr>
      <t>3</t>
    </r>
  </si>
  <si>
    <r>
      <t>7412.4MJ/m</t>
    </r>
    <r>
      <rPr>
        <vertAlign val="superscript"/>
        <sz val="10"/>
        <color theme="1"/>
        <rFont val="Calibri"/>
        <family val="2"/>
        <scheme val="minor"/>
      </rPr>
      <t>3</t>
    </r>
  </si>
  <si>
    <r>
      <t>7800 MJ/m</t>
    </r>
    <r>
      <rPr>
        <vertAlign val="superscript"/>
        <sz val="10"/>
        <color theme="1"/>
        <rFont val="Calibri"/>
        <family val="2"/>
        <scheme val="minor"/>
      </rPr>
      <t>3</t>
    </r>
  </si>
  <si>
    <t>Serbia</t>
  </si>
  <si>
    <t>Turkey</t>
  </si>
  <si>
    <t>Belarus</t>
  </si>
  <si>
    <t>Kazakhstan</t>
  </si>
  <si>
    <t>Latvia</t>
  </si>
  <si>
    <r>
      <t>7804MJ/m</t>
    </r>
    <r>
      <rPr>
        <vertAlign val="superscript"/>
        <sz val="10"/>
        <color theme="1"/>
        <rFont val="Calibri"/>
        <family val="2"/>
        <scheme val="minor"/>
      </rPr>
      <t>3</t>
    </r>
  </si>
  <si>
    <r>
      <t>14670MJ/m</t>
    </r>
    <r>
      <rPr>
        <vertAlign val="superscript"/>
        <sz val="10"/>
        <color theme="1"/>
        <rFont val="Calibri"/>
        <family val="2"/>
        <scheme val="minor"/>
      </rPr>
      <t>3</t>
    </r>
  </si>
  <si>
    <r>
      <t>7050MJ/m</t>
    </r>
    <r>
      <rPr>
        <vertAlign val="superscript"/>
        <sz val="10"/>
        <color theme="1"/>
        <rFont val="Calibri"/>
        <family val="2"/>
        <scheme val="minor"/>
      </rPr>
      <t>3</t>
    </r>
  </si>
  <si>
    <t>Moldova</t>
  </si>
  <si>
    <t>Russian Federation</t>
  </si>
  <si>
    <t>Ukraine</t>
  </si>
  <si>
    <t>FAOSTAT</t>
  </si>
  <si>
    <t>P</t>
  </si>
  <si>
    <t>I</t>
  </si>
  <si>
    <t>E</t>
  </si>
  <si>
    <t>Ch</t>
  </si>
  <si>
    <t>WF</t>
  </si>
  <si>
    <t>WP</t>
  </si>
  <si>
    <t>Russia</t>
  </si>
  <si>
    <t xml:space="preserve"> WF</t>
  </si>
  <si>
    <t>WW</t>
  </si>
  <si>
    <t>BL</t>
  </si>
  <si>
    <t>OTH</t>
  </si>
  <si>
    <t>PEL</t>
  </si>
  <si>
    <t>CH</t>
  </si>
  <si>
    <t>ENERGY DATA</t>
  </si>
  <si>
    <t>x</t>
  </si>
  <si>
    <t>FOREST PRODUCTS DATA</t>
  </si>
  <si>
    <t>END</t>
  </si>
  <si>
    <t>FPD</t>
  </si>
  <si>
    <t>IEA</t>
  </si>
  <si>
    <t>FSTAT</t>
  </si>
  <si>
    <t>Woodfuel production</t>
  </si>
  <si>
    <t>Wood pellets production</t>
  </si>
  <si>
    <t>Charcoal supply</t>
  </si>
  <si>
    <t>Black liquor production</t>
  </si>
  <si>
    <r>
      <t xml:space="preserve">Comparison of wood energy data in IRENA
and FAO-UNECE databases for the year 2013
</t>
    </r>
    <r>
      <rPr>
        <sz val="16"/>
        <color rgb="FFFF0000"/>
        <rFont val="Calibri"/>
        <family val="2"/>
        <scheme val="minor"/>
      </rPr>
      <t>(Note: Ukraine data has been corrected since the workshop)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</si>
</sst>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name val="Arial"/>
      <family val="2"/>
    </font>
    <font>
      <sz val="11"/>
      <name val="Times New Roman"/>
      <family val="1"/>
    </font>
    <font>
      <b/>
      <i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17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/>
      <protection hidden="1"/>
    </xf>
    <xf numFmtId="3" fontId="1" fillId="0" borderId="1" xfId="0" applyNumberFormat="1" applyFont="1" applyBorder="1" applyProtection="1">
      <protection hidden="1"/>
    </xf>
    <xf numFmtId="3" fontId="1" fillId="0" borderId="0" xfId="0" applyNumberFormat="1" applyFont="1" applyBorder="1" applyProtection="1">
      <protection hidden="1"/>
    </xf>
    <xf numFmtId="3" fontId="1" fillId="0" borderId="3" xfId="0" applyNumberFormat="1" applyFont="1" applyBorder="1" applyProtection="1">
      <protection hidden="1"/>
    </xf>
    <xf numFmtId="3" fontId="1" fillId="0" borderId="2" xfId="0" applyNumberFormat="1" applyFont="1" applyBorder="1" applyProtection="1">
      <protection hidden="1"/>
    </xf>
    <xf numFmtId="3" fontId="2" fillId="0" borderId="1" xfId="0" applyNumberFormat="1" applyFont="1" applyBorder="1" applyProtection="1">
      <protection hidden="1"/>
    </xf>
    <xf numFmtId="3" fontId="1" fillId="0" borderId="4" xfId="0" applyNumberFormat="1" applyFont="1" applyBorder="1" applyProtection="1">
      <protection hidden="1"/>
    </xf>
    <xf numFmtId="0" fontId="2" fillId="0" borderId="0" xfId="0" applyFont="1" applyProtection="1">
      <protection locked="0"/>
    </xf>
    <xf numFmtId="3" fontId="1" fillId="0" borderId="0" xfId="0" applyNumberFormat="1" applyFont="1" applyProtection="1">
      <protection locked="0"/>
    </xf>
    <xf numFmtId="3" fontId="2" fillId="0" borderId="0" xfId="0" applyNumberFormat="1" applyFont="1" applyProtection="1">
      <protection locked="0"/>
    </xf>
    <xf numFmtId="3" fontId="1" fillId="0" borderId="0" xfId="0" applyNumberFormat="1" applyFont="1" applyProtection="1">
      <protection hidden="1"/>
    </xf>
    <xf numFmtId="0" fontId="1" fillId="0" borderId="3" xfId="0" applyFont="1" applyBorder="1"/>
    <xf numFmtId="0" fontId="1" fillId="0" borderId="10" xfId="0" applyFont="1" applyBorder="1"/>
    <xf numFmtId="3" fontId="1" fillId="0" borderId="13" xfId="0" applyNumberFormat="1" applyFont="1" applyBorder="1" applyProtection="1">
      <protection hidden="1"/>
    </xf>
    <xf numFmtId="0" fontId="1" fillId="0" borderId="13" xfId="0" applyFont="1" applyBorder="1"/>
    <xf numFmtId="3" fontId="1" fillId="0" borderId="12" xfId="0" applyNumberFormat="1" applyFont="1" applyBorder="1" applyProtection="1">
      <protection hidden="1"/>
    </xf>
    <xf numFmtId="3" fontId="2" fillId="0" borderId="11" xfId="0" applyNumberFormat="1" applyFont="1" applyBorder="1" applyProtection="1">
      <protection hidden="1"/>
    </xf>
    <xf numFmtId="0" fontId="1" fillId="0" borderId="0" xfId="0" applyFont="1" applyBorder="1"/>
    <xf numFmtId="3" fontId="1" fillId="0" borderId="9" xfId="0" applyNumberFormat="1" applyFont="1" applyBorder="1" applyProtection="1">
      <protection hidden="1"/>
    </xf>
    <xf numFmtId="0" fontId="3" fillId="0" borderId="0" xfId="0" applyFont="1" applyProtection="1">
      <protection locked="0"/>
    </xf>
    <xf numFmtId="3" fontId="1" fillId="0" borderId="0" xfId="0" applyNumberFormat="1" applyFont="1"/>
    <xf numFmtId="3" fontId="2" fillId="0" borderId="11" xfId="0" applyNumberFormat="1" applyFont="1" applyBorder="1" applyAlignment="1" applyProtection="1">
      <alignment horizontal="center" vertical="top" wrapText="1"/>
      <protection locked="0"/>
    </xf>
    <xf numFmtId="3" fontId="2" fillId="0" borderId="5" xfId="0" applyNumberFormat="1" applyFont="1" applyBorder="1" applyAlignment="1" applyProtection="1">
      <alignment horizontal="center" vertical="top" wrapText="1"/>
      <protection hidden="1"/>
    </xf>
    <xf numFmtId="3" fontId="2" fillId="0" borderId="1" xfId="0" applyNumberFormat="1" applyFont="1" applyBorder="1" applyAlignment="1" applyProtection="1">
      <alignment horizontal="center" vertical="top" wrapText="1"/>
      <protection hidden="1"/>
    </xf>
    <xf numFmtId="3" fontId="2" fillId="0" borderId="6" xfId="0" applyNumberFormat="1" applyFont="1" applyBorder="1" applyAlignment="1" applyProtection="1">
      <alignment horizontal="center" vertical="top" wrapText="1"/>
      <protection hidden="1"/>
    </xf>
    <xf numFmtId="3" fontId="2" fillId="0" borderId="12" xfId="0" applyNumberFormat="1" applyFont="1" applyFill="1" applyBorder="1" applyAlignment="1" applyProtection="1">
      <alignment horizontal="center"/>
      <protection locked="0"/>
    </xf>
    <xf numFmtId="3" fontId="2" fillId="0" borderId="7" xfId="0" applyNumberFormat="1" applyFont="1" applyFill="1" applyBorder="1" applyAlignment="1" applyProtection="1">
      <alignment horizontal="center"/>
      <protection locked="0"/>
    </xf>
    <xf numFmtId="3" fontId="2" fillId="0" borderId="2" xfId="0" applyNumberFormat="1" applyFont="1" applyFill="1" applyBorder="1" applyAlignment="1" applyProtection="1">
      <alignment horizontal="center"/>
      <protection locked="0"/>
    </xf>
    <xf numFmtId="3" fontId="2" fillId="0" borderId="8" xfId="0" applyNumberFormat="1" applyFont="1" applyFill="1" applyBorder="1" applyAlignment="1" applyProtection="1">
      <alignment horizontal="center"/>
      <protection locked="0"/>
    </xf>
    <xf numFmtId="3" fontId="1" fillId="0" borderId="3" xfId="0" applyNumberFormat="1" applyFont="1" applyBorder="1"/>
    <xf numFmtId="3" fontId="1" fillId="0" borderId="10" xfId="0" applyNumberFormat="1" applyFont="1" applyBorder="1"/>
    <xf numFmtId="3" fontId="1" fillId="0" borderId="5" xfId="0" applyNumberFormat="1" applyFont="1" applyBorder="1"/>
    <xf numFmtId="3" fontId="1" fillId="0" borderId="1" xfId="0" applyNumberFormat="1" applyFont="1" applyBorder="1"/>
    <xf numFmtId="3" fontId="1" fillId="0" borderId="6" xfId="0" applyNumberFormat="1" applyFont="1" applyBorder="1"/>
    <xf numFmtId="3" fontId="1" fillId="0" borderId="7" xfId="0" applyNumberFormat="1" applyFont="1" applyBorder="1"/>
    <xf numFmtId="3" fontId="1" fillId="0" borderId="2" xfId="0" applyNumberFormat="1" applyFont="1" applyBorder="1"/>
    <xf numFmtId="3" fontId="1" fillId="0" borderId="8" xfId="0" applyNumberFormat="1" applyFont="1" applyBorder="1"/>
    <xf numFmtId="3" fontId="1" fillId="0" borderId="0" xfId="0" applyNumberFormat="1" applyFont="1" applyBorder="1"/>
    <xf numFmtId="3" fontId="1" fillId="0" borderId="14" xfId="0" applyNumberFormat="1" applyFont="1" applyBorder="1"/>
    <xf numFmtId="3" fontId="1" fillId="0" borderId="4" xfId="0" applyNumberFormat="1" applyFont="1" applyBorder="1"/>
    <xf numFmtId="3" fontId="1" fillId="0" borderId="15" xfId="0" applyNumberFormat="1" applyFont="1" applyBorder="1"/>
    <xf numFmtId="3" fontId="1" fillId="0" borderId="11" xfId="0" applyNumberFormat="1" applyFont="1" applyBorder="1" applyProtection="1">
      <protection hidden="1"/>
    </xf>
    <xf numFmtId="3" fontId="2" fillId="0" borderId="2" xfId="0" applyNumberFormat="1" applyFont="1" applyBorder="1" applyProtection="1">
      <protection hidden="1"/>
    </xf>
    <xf numFmtId="3" fontId="2" fillId="0" borderId="12" xfId="0" applyNumberFormat="1" applyFont="1" applyBorder="1" applyProtection="1">
      <protection hidden="1"/>
    </xf>
    <xf numFmtId="3" fontId="5" fillId="0" borderId="0" xfId="1" applyNumberFormat="1" applyFont="1" applyFill="1" applyBorder="1" applyAlignment="1" applyProtection="1"/>
    <xf numFmtId="3" fontId="1" fillId="0" borderId="13" xfId="0" applyNumberFormat="1" applyFont="1" applyBorder="1"/>
    <xf numFmtId="3" fontId="1" fillId="0" borderId="12" xfId="0" applyNumberFormat="1" applyFont="1" applyBorder="1"/>
    <xf numFmtId="3" fontId="2" fillId="0" borderId="13" xfId="0" applyNumberFormat="1" applyFont="1" applyBorder="1"/>
    <xf numFmtId="3" fontId="2" fillId="0" borderId="3" xfId="0" applyNumberFormat="1" applyFont="1" applyBorder="1"/>
    <xf numFmtId="3" fontId="2" fillId="0" borderId="0" xfId="0" applyNumberFormat="1" applyFont="1" applyBorder="1"/>
    <xf numFmtId="3" fontId="2" fillId="0" borderId="10" xfId="0" applyNumberFormat="1" applyFont="1" applyBorder="1"/>
    <xf numFmtId="3" fontId="1" fillId="0" borderId="9" xfId="0" applyNumberFormat="1" applyFont="1" applyBorder="1"/>
    <xf numFmtId="3" fontId="2" fillId="0" borderId="11" xfId="0" applyNumberFormat="1" applyFont="1" applyBorder="1"/>
    <xf numFmtId="3" fontId="2" fillId="0" borderId="1" xfId="0" applyNumberFormat="1" applyFont="1" applyBorder="1"/>
    <xf numFmtId="3" fontId="2" fillId="0" borderId="5" xfId="0" applyNumberFormat="1" applyFont="1" applyBorder="1"/>
    <xf numFmtId="3" fontId="2" fillId="0" borderId="6" xfId="0" applyNumberFormat="1" applyFont="1" applyBorder="1"/>
    <xf numFmtId="0" fontId="2" fillId="0" borderId="0" xfId="0" applyFont="1"/>
    <xf numFmtId="3" fontId="2" fillId="0" borderId="7" xfId="0" applyNumberFormat="1" applyFont="1" applyBorder="1"/>
    <xf numFmtId="3" fontId="2" fillId="0" borderId="8" xfId="0" applyNumberFormat="1" applyFont="1" applyBorder="1"/>
    <xf numFmtId="3" fontId="2" fillId="0" borderId="13" xfId="0" applyNumberFormat="1" applyFont="1" applyBorder="1" applyProtection="1">
      <protection hidden="1"/>
    </xf>
    <xf numFmtId="1" fontId="1" fillId="0" borderId="0" xfId="0" applyNumberFormat="1" applyFont="1"/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2" xfId="0" applyNumberFormat="1" applyFont="1" applyBorder="1"/>
    <xf numFmtId="3" fontId="1" fillId="2" borderId="14" xfId="0" applyNumberFormat="1" applyFont="1" applyFill="1" applyBorder="1"/>
    <xf numFmtId="3" fontId="1" fillId="2" borderId="15" xfId="0" applyNumberFormat="1" applyFont="1" applyFill="1" applyBorder="1"/>
    <xf numFmtId="3" fontId="5" fillId="0" borderId="0" xfId="0" applyNumberFormat="1" applyFont="1"/>
    <xf numFmtId="0" fontId="5" fillId="0" borderId="0" xfId="1" applyFont="1" applyFill="1" applyBorder="1" applyAlignment="1" applyProtection="1"/>
    <xf numFmtId="0" fontId="6" fillId="0" borderId="0" xfId="0" applyFont="1" applyProtection="1">
      <protection locked="0"/>
    </xf>
    <xf numFmtId="3" fontId="2" fillId="0" borderId="3" xfId="0" applyNumberFormat="1" applyFont="1" applyFill="1" applyBorder="1" applyAlignment="1" applyProtection="1">
      <alignment horizontal="center"/>
      <protection locked="0"/>
    </xf>
    <xf numFmtId="3" fontId="2" fillId="0" borderId="10" xfId="0" applyNumberFormat="1" applyFont="1" applyFill="1" applyBorder="1" applyAlignment="1" applyProtection="1">
      <alignment horizontal="center"/>
      <protection locked="0"/>
    </xf>
    <xf numFmtId="3" fontId="8" fillId="0" borderId="0" xfId="1" applyNumberFormat="1" applyFont="1" applyFill="1" applyBorder="1" applyAlignment="1" applyProtection="1"/>
    <xf numFmtId="3" fontId="8" fillId="0" borderId="10" xfId="1" applyNumberFormat="1" applyFont="1" applyFill="1" applyBorder="1" applyAlignment="1" applyProtection="1"/>
    <xf numFmtId="0" fontId="8" fillId="0" borderId="0" xfId="1" applyFont="1" applyFill="1" applyBorder="1" applyAlignment="1" applyProtection="1"/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5" borderId="16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vertical="center" wrapText="1"/>
      <protection locked="0"/>
    </xf>
    <xf numFmtId="0" fontId="1" fillId="5" borderId="16" xfId="0" applyFont="1" applyFill="1" applyBorder="1" applyAlignment="1" applyProtection="1">
      <alignment vertical="center" wrapText="1"/>
      <protection locked="0"/>
    </xf>
    <xf numFmtId="0" fontId="2" fillId="4" borderId="16" xfId="0" applyFont="1" applyFill="1" applyBorder="1" applyAlignment="1" applyProtection="1">
      <alignment horizontal="center" vertical="center" wrapText="1"/>
      <protection locked="0"/>
    </xf>
    <xf numFmtId="0" fontId="1" fillId="4" borderId="16" xfId="0" applyFont="1" applyFill="1" applyBorder="1" applyAlignment="1" applyProtection="1">
      <alignment vertical="center" wrapText="1"/>
      <protection locked="0"/>
    </xf>
    <xf numFmtId="0" fontId="2" fillId="6" borderId="16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vertical="center" wrapText="1"/>
      <protection locked="0"/>
    </xf>
    <xf numFmtId="0" fontId="1" fillId="0" borderId="16" xfId="0" applyFont="1" applyBorder="1" applyAlignment="1" applyProtection="1">
      <alignment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5" borderId="23" xfId="0" applyFont="1" applyFill="1" applyBorder="1" applyAlignment="1" applyProtection="1">
      <alignment horizontal="center" vertical="center" wrapText="1"/>
      <protection locked="0"/>
    </xf>
    <xf numFmtId="0" fontId="1" fillId="3" borderId="23" xfId="0" applyFont="1" applyFill="1" applyBorder="1" applyAlignment="1" applyProtection="1">
      <alignment vertical="center" wrapText="1"/>
      <protection locked="0"/>
    </xf>
    <xf numFmtId="0" fontId="2" fillId="5" borderId="24" xfId="0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 applyProtection="1">
      <alignment vertical="center" wrapText="1"/>
      <protection locked="0"/>
    </xf>
    <xf numFmtId="0" fontId="1" fillId="5" borderId="25" xfId="0" applyFont="1" applyFill="1" applyBorder="1" applyAlignment="1" applyProtection="1">
      <alignment vertical="center" wrapText="1"/>
      <protection locked="0"/>
    </xf>
    <xf numFmtId="0" fontId="2" fillId="5" borderId="25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vertical="center" wrapText="1"/>
      <protection locked="0"/>
    </xf>
    <xf numFmtId="0" fontId="2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vertical="center" wrapText="1"/>
      <protection locked="0"/>
    </xf>
    <xf numFmtId="0" fontId="2" fillId="4" borderId="2" xfId="0" applyFont="1" applyFill="1" applyBorder="1" applyAlignment="1" applyProtection="1">
      <alignment vertical="center" wrapText="1"/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0" fontId="1" fillId="4" borderId="18" xfId="0" applyFont="1" applyFill="1" applyBorder="1" applyAlignment="1" applyProtection="1">
      <alignment vertical="center" wrapText="1"/>
      <protection locked="0"/>
    </xf>
    <xf numFmtId="0" fontId="2" fillId="4" borderId="19" xfId="0" applyFont="1" applyFill="1" applyBorder="1" applyAlignment="1" applyProtection="1">
      <alignment horizontal="center" vertical="center" wrapText="1"/>
      <protection locked="0"/>
    </xf>
    <xf numFmtId="0" fontId="2" fillId="6" borderId="26" xfId="0" applyFont="1" applyFill="1" applyBorder="1" applyAlignment="1" applyProtection="1">
      <alignment horizontal="center" vertical="center" wrapText="1"/>
      <protection locked="0"/>
    </xf>
    <xf numFmtId="0" fontId="2" fillId="6" borderId="23" xfId="0" applyFont="1" applyFill="1" applyBorder="1" applyAlignment="1" applyProtection="1">
      <alignment horizontal="center" vertical="center" wrapText="1"/>
      <protection locked="0"/>
    </xf>
    <xf numFmtId="0" fontId="2" fillId="6" borderId="24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6" borderId="27" xfId="0" applyFont="1" applyFill="1" applyBorder="1" applyAlignment="1" applyProtection="1">
      <alignment horizontal="center" vertical="center" wrapText="1"/>
      <protection locked="0"/>
    </xf>
    <xf numFmtId="0" fontId="2" fillId="6" borderId="25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0" fontId="2" fillId="6" borderId="18" xfId="0" applyFont="1" applyFill="1" applyBorder="1" applyAlignment="1" applyProtection="1">
      <alignment vertical="center" wrapText="1"/>
      <protection locked="0"/>
    </xf>
    <xf numFmtId="0" fontId="2" fillId="6" borderId="18" xfId="0" applyFont="1" applyFill="1" applyBorder="1" applyAlignment="1" applyProtection="1">
      <alignment horizontal="center" vertical="center" wrapText="1"/>
      <protection locked="0"/>
    </xf>
    <xf numFmtId="0" fontId="2" fillId="6" borderId="19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9" fillId="7" borderId="0" xfId="0" applyFont="1" applyFill="1" applyBorder="1" applyAlignment="1" applyProtection="1">
      <alignment vertical="center" wrapText="1"/>
      <protection locked="0"/>
    </xf>
    <xf numFmtId="0" fontId="1" fillId="7" borderId="0" xfId="0" applyFont="1" applyFill="1" applyBorder="1" applyAlignment="1" applyProtection="1">
      <alignment vertical="center" wrapText="1"/>
      <protection locked="0"/>
    </xf>
    <xf numFmtId="0" fontId="1" fillId="7" borderId="0" xfId="0" applyFont="1" applyFill="1"/>
    <xf numFmtId="0" fontId="1" fillId="7" borderId="0" xfId="0" applyFont="1" applyFill="1" applyProtection="1">
      <protection locked="0"/>
    </xf>
    <xf numFmtId="3" fontId="1" fillId="7" borderId="0" xfId="0" applyNumberFormat="1" applyFont="1" applyFill="1" applyProtection="1">
      <protection locked="0"/>
    </xf>
    <xf numFmtId="3" fontId="1" fillId="7" borderId="0" xfId="0" applyNumberFormat="1" applyFont="1" applyFill="1"/>
    <xf numFmtId="0" fontId="2" fillId="7" borderId="0" xfId="0" applyFont="1" applyFill="1" applyProtection="1">
      <protection locked="0"/>
    </xf>
    <xf numFmtId="3" fontId="2" fillId="7" borderId="0" xfId="0" applyNumberFormat="1" applyFont="1" applyFill="1" applyAlignment="1">
      <alignment horizontal="right"/>
    </xf>
    <xf numFmtId="0" fontId="2" fillId="7" borderId="0" xfId="0" applyFont="1" applyFill="1" applyAlignment="1">
      <alignment horizontal="left"/>
    </xf>
    <xf numFmtId="0" fontId="2" fillId="7" borderId="0" xfId="0" applyFont="1" applyFill="1"/>
    <xf numFmtId="0" fontId="1" fillId="7" borderId="16" xfId="0" applyFont="1" applyFill="1" applyBorder="1"/>
    <xf numFmtId="0" fontId="1" fillId="7" borderId="0" xfId="0" applyFont="1" applyFill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7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7" borderId="0" xfId="0" applyFont="1" applyFill="1" applyProtection="1"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3" fontId="2" fillId="7" borderId="11" xfId="0" applyNumberFormat="1" applyFont="1" applyFill="1" applyBorder="1" applyAlignment="1" applyProtection="1">
      <alignment horizontal="center" vertical="top" wrapText="1"/>
      <protection locked="0"/>
    </xf>
    <xf numFmtId="3" fontId="2" fillId="7" borderId="5" xfId="0" applyNumberFormat="1" applyFont="1" applyFill="1" applyBorder="1" applyAlignment="1" applyProtection="1">
      <alignment horizontal="center" vertical="top" wrapText="1"/>
      <protection hidden="1"/>
    </xf>
    <xf numFmtId="3" fontId="2" fillId="7" borderId="1" xfId="0" applyNumberFormat="1" applyFont="1" applyFill="1" applyBorder="1" applyAlignment="1" applyProtection="1">
      <alignment horizontal="center" vertical="top" wrapText="1"/>
      <protection hidden="1"/>
    </xf>
    <xf numFmtId="3" fontId="2" fillId="7" borderId="6" xfId="0" applyNumberFormat="1" applyFont="1" applyFill="1" applyBorder="1" applyAlignment="1" applyProtection="1">
      <alignment horizontal="center" vertical="top" wrapText="1"/>
      <protection hidden="1"/>
    </xf>
    <xf numFmtId="0" fontId="2" fillId="7" borderId="2" xfId="0" applyFont="1" applyFill="1" applyBorder="1" applyAlignment="1" applyProtection="1">
      <alignment horizontal="center"/>
      <protection hidden="1"/>
    </xf>
    <xf numFmtId="3" fontId="2" fillId="7" borderId="12" xfId="0" applyNumberFormat="1" applyFont="1" applyFill="1" applyBorder="1" applyAlignment="1" applyProtection="1">
      <alignment horizontal="center"/>
      <protection locked="0"/>
    </xf>
    <xf numFmtId="3" fontId="2" fillId="7" borderId="7" xfId="0" applyNumberFormat="1" applyFont="1" applyFill="1" applyBorder="1" applyAlignment="1" applyProtection="1">
      <alignment horizontal="center"/>
      <protection locked="0"/>
    </xf>
    <xf numFmtId="3" fontId="2" fillId="7" borderId="2" xfId="0" applyNumberFormat="1" applyFont="1" applyFill="1" applyBorder="1" applyAlignment="1" applyProtection="1">
      <alignment horizontal="center"/>
      <protection locked="0"/>
    </xf>
    <xf numFmtId="3" fontId="2" fillId="7" borderId="8" xfId="0" applyNumberFormat="1" applyFont="1" applyFill="1" applyBorder="1" applyAlignment="1" applyProtection="1">
      <alignment horizontal="center"/>
      <protection locked="0"/>
    </xf>
    <xf numFmtId="3" fontId="2" fillId="7" borderId="3" xfId="0" applyNumberFormat="1" applyFont="1" applyFill="1" applyBorder="1" applyAlignment="1" applyProtection="1">
      <alignment horizontal="center"/>
      <protection locked="0"/>
    </xf>
    <xf numFmtId="3" fontId="2" fillId="7" borderId="10" xfId="0" applyNumberFormat="1" applyFont="1" applyFill="1" applyBorder="1" applyAlignment="1" applyProtection="1">
      <alignment horizontal="center"/>
      <protection locked="0"/>
    </xf>
    <xf numFmtId="3" fontId="1" fillId="7" borderId="1" xfId="0" applyNumberFormat="1" applyFont="1" applyFill="1" applyBorder="1" applyProtection="1">
      <protection hidden="1"/>
    </xf>
    <xf numFmtId="3" fontId="1" fillId="7" borderId="11" xfId="0" applyNumberFormat="1" applyFont="1" applyFill="1" applyBorder="1" applyProtection="1">
      <protection hidden="1"/>
    </xf>
    <xf numFmtId="3" fontId="1" fillId="7" borderId="5" xfId="0" applyNumberFormat="1" applyFont="1" applyFill="1" applyBorder="1"/>
    <xf numFmtId="3" fontId="1" fillId="7" borderId="1" xfId="0" applyNumberFormat="1" applyFont="1" applyFill="1" applyBorder="1"/>
    <xf numFmtId="3" fontId="1" fillId="7" borderId="6" xfId="0" applyNumberFormat="1" applyFont="1" applyFill="1" applyBorder="1"/>
    <xf numFmtId="3" fontId="1" fillId="7" borderId="13" xfId="0" applyNumberFormat="1" applyFont="1" applyFill="1" applyBorder="1"/>
    <xf numFmtId="3" fontId="8" fillId="7" borderId="0" xfId="1" applyNumberFormat="1" applyFont="1" applyFill="1" applyBorder="1" applyAlignment="1" applyProtection="1"/>
    <xf numFmtId="3" fontId="1" fillId="7" borderId="3" xfId="0" applyNumberFormat="1" applyFont="1" applyFill="1" applyBorder="1" applyProtection="1">
      <protection hidden="1"/>
    </xf>
    <xf numFmtId="3" fontId="1" fillId="7" borderId="13" xfId="0" applyNumberFormat="1" applyFont="1" applyFill="1" applyBorder="1" applyProtection="1">
      <protection hidden="1"/>
    </xf>
    <xf numFmtId="3" fontId="1" fillId="7" borderId="0" xfId="0" applyNumberFormat="1" applyFont="1" applyFill="1" applyBorder="1"/>
    <xf numFmtId="3" fontId="1" fillId="7" borderId="3" xfId="0" applyNumberFormat="1" applyFont="1" applyFill="1" applyBorder="1"/>
    <xf numFmtId="3" fontId="1" fillId="7" borderId="10" xfId="0" applyNumberFormat="1" applyFont="1" applyFill="1" applyBorder="1"/>
    <xf numFmtId="0" fontId="1" fillId="7" borderId="0" xfId="0" applyFont="1" applyFill="1" applyBorder="1"/>
    <xf numFmtId="0" fontId="1" fillId="7" borderId="3" xfId="0" applyFont="1" applyFill="1" applyBorder="1"/>
    <xf numFmtId="0" fontId="1" fillId="7" borderId="10" xfId="0" applyFont="1" applyFill="1" applyBorder="1"/>
    <xf numFmtId="3" fontId="2" fillId="7" borderId="2" xfId="0" applyNumberFormat="1" applyFont="1" applyFill="1" applyBorder="1" applyProtection="1">
      <protection hidden="1"/>
    </xf>
    <xf numFmtId="3" fontId="2" fillId="7" borderId="12" xfId="0" applyNumberFormat="1" applyFont="1" applyFill="1" applyBorder="1" applyProtection="1">
      <protection hidden="1"/>
    </xf>
    <xf numFmtId="3" fontId="1" fillId="7" borderId="7" xfId="0" applyNumberFormat="1" applyFont="1" applyFill="1" applyBorder="1"/>
    <xf numFmtId="3" fontId="1" fillId="7" borderId="2" xfId="0" applyNumberFormat="1" applyFont="1" applyFill="1" applyBorder="1"/>
    <xf numFmtId="3" fontId="2" fillId="7" borderId="8" xfId="0" applyNumberFormat="1" applyFont="1" applyFill="1" applyBorder="1"/>
    <xf numFmtId="3" fontId="2" fillId="7" borderId="13" xfId="0" applyNumberFormat="1" applyFont="1" applyFill="1" applyBorder="1"/>
    <xf numFmtId="3" fontId="2" fillId="7" borderId="2" xfId="0" applyNumberFormat="1" applyFont="1" applyFill="1" applyBorder="1"/>
    <xf numFmtId="3" fontId="2" fillId="7" borderId="0" xfId="0" applyNumberFormat="1" applyFont="1" applyFill="1" applyBorder="1"/>
    <xf numFmtId="3" fontId="1" fillId="7" borderId="2" xfId="0" applyNumberFormat="1" applyFont="1" applyFill="1" applyBorder="1" applyProtection="1">
      <protection hidden="1"/>
    </xf>
    <xf numFmtId="3" fontId="1" fillId="7" borderId="12" xfId="0" applyNumberFormat="1" applyFont="1" applyFill="1" applyBorder="1" applyProtection="1">
      <protection hidden="1"/>
    </xf>
    <xf numFmtId="3" fontId="1" fillId="7" borderId="8" xfId="0" applyNumberFormat="1" applyFont="1" applyFill="1" applyBorder="1"/>
    <xf numFmtId="3" fontId="1" fillId="7" borderId="9" xfId="0" applyNumberFormat="1" applyFont="1" applyFill="1" applyBorder="1"/>
    <xf numFmtId="3" fontId="1" fillId="7" borderId="14" xfId="0" applyNumberFormat="1" applyFont="1" applyFill="1" applyBorder="1"/>
    <xf numFmtId="3" fontId="1" fillId="7" borderId="15" xfId="0" applyNumberFormat="1" applyFont="1" applyFill="1" applyBorder="1"/>
    <xf numFmtId="0" fontId="1" fillId="7" borderId="13" xfId="0" applyFont="1" applyFill="1" applyBorder="1"/>
    <xf numFmtId="3" fontId="2" fillId="7" borderId="1" xfId="0" applyNumberFormat="1" applyFont="1" applyFill="1" applyBorder="1" applyProtection="1">
      <protection hidden="1"/>
    </xf>
    <xf numFmtId="3" fontId="2" fillId="7" borderId="11" xfId="0" applyNumberFormat="1" applyFont="1" applyFill="1" applyBorder="1" applyProtection="1">
      <protection hidden="1"/>
    </xf>
    <xf numFmtId="3" fontId="2" fillId="7" borderId="6" xfId="0" applyNumberFormat="1" applyFont="1" applyFill="1" applyBorder="1"/>
    <xf numFmtId="3" fontId="2" fillId="7" borderId="11" xfId="0" applyNumberFormat="1" applyFont="1" applyFill="1" applyBorder="1"/>
    <xf numFmtId="3" fontId="2" fillId="7" borderId="5" xfId="0" applyNumberFormat="1" applyFont="1" applyFill="1" applyBorder="1"/>
    <xf numFmtId="3" fontId="2" fillId="7" borderId="1" xfId="0" applyNumberFormat="1" applyFont="1" applyFill="1" applyBorder="1"/>
    <xf numFmtId="3" fontId="1" fillId="7" borderId="12" xfId="0" applyNumberFormat="1" applyFont="1" applyFill="1" applyBorder="1"/>
    <xf numFmtId="3" fontId="1" fillId="7" borderId="4" xfId="0" applyNumberFormat="1" applyFont="1" applyFill="1" applyBorder="1" applyProtection="1">
      <protection hidden="1"/>
    </xf>
    <xf numFmtId="3" fontId="1" fillId="7" borderId="9" xfId="0" applyNumberFormat="1" applyFont="1" applyFill="1" applyBorder="1" applyProtection="1">
      <protection hidden="1"/>
    </xf>
    <xf numFmtId="3" fontId="1" fillId="7" borderId="4" xfId="0" applyNumberFormat="1" applyFont="1" applyFill="1" applyBorder="1"/>
    <xf numFmtId="3" fontId="8" fillId="7" borderId="10" xfId="1" applyNumberFormat="1" applyFont="1" applyFill="1" applyBorder="1" applyAlignment="1" applyProtection="1"/>
    <xf numFmtId="3" fontId="2" fillId="7" borderId="7" xfId="0" applyNumberFormat="1" applyFont="1" applyFill="1" applyBorder="1"/>
    <xf numFmtId="3" fontId="2" fillId="7" borderId="10" xfId="0" applyNumberFormat="1" applyFont="1" applyFill="1" applyBorder="1"/>
    <xf numFmtId="3" fontId="2" fillId="7" borderId="3" xfId="0" applyNumberFormat="1" applyFont="1" applyFill="1" applyBorder="1"/>
    <xf numFmtId="3" fontId="1" fillId="4" borderId="0" xfId="0" applyNumberFormat="1" applyFont="1" applyFill="1"/>
    <xf numFmtId="3" fontId="1" fillId="5" borderId="0" xfId="0" applyNumberFormat="1" applyFont="1" applyFill="1"/>
    <xf numFmtId="3" fontId="1" fillId="6" borderId="0" xfId="0" applyNumberFormat="1" applyFont="1" applyFill="1"/>
    <xf numFmtId="0" fontId="2" fillId="3" borderId="23" xfId="0" applyFont="1" applyFill="1" applyBorder="1" applyAlignment="1" applyProtection="1">
      <alignment vertical="center" wrapText="1"/>
      <protection locked="0"/>
    </xf>
    <xf numFmtId="0" fontId="2" fillId="3" borderId="16" xfId="0" applyFont="1" applyFill="1" applyBorder="1" applyAlignment="1" applyProtection="1">
      <alignment vertical="center" wrapText="1"/>
      <protection locked="0"/>
    </xf>
    <xf numFmtId="0" fontId="2" fillId="3" borderId="18" xfId="0" applyFont="1" applyFill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3" fontId="2" fillId="7" borderId="4" xfId="0" applyNumberFormat="1" applyFont="1" applyFill="1" applyBorder="1" applyAlignment="1" applyProtection="1">
      <alignment horizontal="center"/>
      <protection locked="0"/>
    </xf>
    <xf numFmtId="3" fontId="2" fillId="7" borderId="14" xfId="0" applyNumberFormat="1" applyFont="1" applyFill="1" applyBorder="1" applyAlignment="1" applyProtection="1">
      <alignment horizontal="center"/>
      <protection locked="0"/>
    </xf>
    <xf numFmtId="3" fontId="2" fillId="7" borderId="15" xfId="0" applyNumberFormat="1" applyFont="1" applyFill="1" applyBorder="1" applyAlignment="1" applyProtection="1">
      <alignment horizontal="center"/>
      <protection locked="0"/>
    </xf>
    <xf numFmtId="0" fontId="2" fillId="7" borderId="4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_Ausria wood Energy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hartsheet" Target="chart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hartsheet" Target="chartsheets/sheet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hartsheet" Target="chartsheets/sheet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chartsheet" Target="chartsheets/sheet3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 b="1"/>
              <a:t>Production of woodfuel (including wood waste and wood pellets)</a:t>
            </a:r>
          </a:p>
        </c:rich>
      </c:tx>
      <c:layout>
        <c:manualLayout>
          <c:xMode val="edge"/>
          <c:yMode val="edge"/>
          <c:x val="0.1676982549547231"/>
          <c:y val="1.6676055154411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07145228046682"/>
          <c:y val="8.9821402075446699E-2"/>
          <c:w val="0.88423752141109424"/>
          <c:h val="0.69051441034388128"/>
        </c:manualLayout>
      </c:layout>
      <c:lineChart>
        <c:grouping val="standard"/>
        <c:varyColors val="0"/>
        <c:ser>
          <c:idx val="0"/>
          <c:order val="0"/>
          <c:tx>
            <c:v>IEA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15"/>
            <c:spPr>
              <a:solidFill>
                <a:schemeClr val="accent5">
                  <a:lumMod val="40000"/>
                  <a:lumOff val="60000"/>
                </a:schemeClr>
              </a:solidFill>
              <a:ln w="9525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</c:marker>
          <c:cat>
            <c:strRef>
              <c:f>Comparison!$T$4:$T$28</c:f>
              <c:strCache>
                <c:ptCount val="25"/>
                <c:pt idx="0">
                  <c:v>Germany</c:v>
                </c:pt>
                <c:pt idx="1">
                  <c:v>Canada</c:v>
                </c:pt>
                <c:pt idx="2">
                  <c:v>Finland</c:v>
                </c:pt>
                <c:pt idx="3">
                  <c:v>Italy</c:v>
                </c:pt>
                <c:pt idx="4">
                  <c:v>Turkey</c:v>
                </c:pt>
                <c:pt idx="5">
                  <c:v>Russia</c:v>
                </c:pt>
                <c:pt idx="6">
                  <c:v>Austria</c:v>
                </c:pt>
                <c:pt idx="7">
                  <c:v>Spain</c:v>
                </c:pt>
                <c:pt idx="8">
                  <c:v>Ukraine</c:v>
                </c:pt>
                <c:pt idx="9">
                  <c:v>Belarus</c:v>
                </c:pt>
                <c:pt idx="10">
                  <c:v>Czechia</c:v>
                </c:pt>
                <c:pt idx="11">
                  <c:v>Latvia</c:v>
                </c:pt>
                <c:pt idx="12">
                  <c:v>Croatia</c:v>
                </c:pt>
                <c:pt idx="13">
                  <c:v>Serbia</c:v>
                </c:pt>
                <c:pt idx="14">
                  <c:v>Portugal</c:v>
                </c:pt>
                <c:pt idx="15">
                  <c:v>Belgium</c:v>
                </c:pt>
                <c:pt idx="16">
                  <c:v>Hungary</c:v>
                </c:pt>
                <c:pt idx="17">
                  <c:v>Lithuania</c:v>
                </c:pt>
                <c:pt idx="18">
                  <c:v>Netherlands</c:v>
                </c:pt>
                <c:pt idx="19">
                  <c:v>Slovakia</c:v>
                </c:pt>
                <c:pt idx="20">
                  <c:v>Georgia</c:v>
                </c:pt>
                <c:pt idx="21">
                  <c:v>Moldova</c:v>
                </c:pt>
                <c:pt idx="22">
                  <c:v>Montenegro</c:v>
                </c:pt>
                <c:pt idx="23">
                  <c:v>Macedonia</c:v>
                </c:pt>
                <c:pt idx="24">
                  <c:v>Kazakhstan</c:v>
                </c:pt>
              </c:strCache>
            </c:strRef>
          </c:cat>
          <c:val>
            <c:numRef>
              <c:f>Comparison!$U$4:$U$28</c:f>
              <c:numCache>
                <c:formatCode>#,##0</c:formatCode>
                <c:ptCount val="25"/>
                <c:pt idx="0">
                  <c:v>88966.503360000002</c:v>
                </c:pt>
                <c:pt idx="1">
                  <c:v>88966.503360000002</c:v>
                </c:pt>
                <c:pt idx="3">
                  <c:v>88966.503360000002</c:v>
                </c:pt>
                <c:pt idx="7">
                  <c:v>88966.503360000002</c:v>
                </c:pt>
                <c:pt idx="15">
                  <c:v>88966.503360000002</c:v>
                </c:pt>
                <c:pt idx="16">
                  <c:v>88966.503360000002</c:v>
                </c:pt>
                <c:pt idx="18">
                  <c:v>88966.503360000002</c:v>
                </c:pt>
              </c:numCache>
            </c:numRef>
          </c:val>
          <c:smooth val="0"/>
        </c:ser>
        <c:ser>
          <c:idx val="1"/>
          <c:order val="1"/>
          <c:tx>
            <c:v>IRENA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15"/>
            <c:spPr>
              <a:solidFill>
                <a:schemeClr val="tx2">
                  <a:lumMod val="20000"/>
                  <a:lumOff val="8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Comparison!$T$4:$T$28</c:f>
              <c:strCache>
                <c:ptCount val="25"/>
                <c:pt idx="0">
                  <c:v>Germany</c:v>
                </c:pt>
                <c:pt idx="1">
                  <c:v>Canada</c:v>
                </c:pt>
                <c:pt idx="2">
                  <c:v>Finland</c:v>
                </c:pt>
                <c:pt idx="3">
                  <c:v>Italy</c:v>
                </c:pt>
                <c:pt idx="4">
                  <c:v>Turkey</c:v>
                </c:pt>
                <c:pt idx="5">
                  <c:v>Russia</c:v>
                </c:pt>
                <c:pt idx="6">
                  <c:v>Austria</c:v>
                </c:pt>
                <c:pt idx="7">
                  <c:v>Spain</c:v>
                </c:pt>
                <c:pt idx="8">
                  <c:v>Ukraine</c:v>
                </c:pt>
                <c:pt idx="9">
                  <c:v>Belarus</c:v>
                </c:pt>
                <c:pt idx="10">
                  <c:v>Czechia</c:v>
                </c:pt>
                <c:pt idx="11">
                  <c:v>Latvia</c:v>
                </c:pt>
                <c:pt idx="12">
                  <c:v>Croatia</c:v>
                </c:pt>
                <c:pt idx="13">
                  <c:v>Serbia</c:v>
                </c:pt>
                <c:pt idx="14">
                  <c:v>Portugal</c:v>
                </c:pt>
                <c:pt idx="15">
                  <c:v>Belgium</c:v>
                </c:pt>
                <c:pt idx="16">
                  <c:v>Hungary</c:v>
                </c:pt>
                <c:pt idx="17">
                  <c:v>Lithuania</c:v>
                </c:pt>
                <c:pt idx="18">
                  <c:v>Netherlands</c:v>
                </c:pt>
                <c:pt idx="19">
                  <c:v>Slovakia</c:v>
                </c:pt>
                <c:pt idx="20">
                  <c:v>Georgia</c:v>
                </c:pt>
                <c:pt idx="21">
                  <c:v>Moldova</c:v>
                </c:pt>
                <c:pt idx="22">
                  <c:v>Montenegro</c:v>
                </c:pt>
                <c:pt idx="23">
                  <c:v>Macedonia</c:v>
                </c:pt>
                <c:pt idx="24">
                  <c:v>Kazakhstan</c:v>
                </c:pt>
              </c:strCache>
            </c:strRef>
          </c:cat>
          <c:val>
            <c:numRef>
              <c:f>Comparison!$V$4:$V$28</c:f>
              <c:numCache>
                <c:formatCode>General</c:formatCode>
                <c:ptCount val="25"/>
                <c:pt idx="2" formatCode="#,##0">
                  <c:v>88966.503360000002</c:v>
                </c:pt>
                <c:pt idx="4" formatCode="#,##0">
                  <c:v>89554.505040000004</c:v>
                </c:pt>
                <c:pt idx="5" formatCode="#,##0">
                  <c:v>88966.503360000002</c:v>
                </c:pt>
                <c:pt idx="6" formatCode="#,##0">
                  <c:v>193180.89721220999</c:v>
                </c:pt>
                <c:pt idx="8" formatCode="#,##0">
                  <c:v>90241.002359999999</c:v>
                </c:pt>
                <c:pt idx="9" formatCode="#,##0">
                  <c:v>112083.50336</c:v>
                </c:pt>
                <c:pt idx="10" formatCode="#,##0">
                  <c:v>110139.8315550064</c:v>
                </c:pt>
                <c:pt idx="11" formatCode="#,##0">
                  <c:v>133674.49283999999</c:v>
                </c:pt>
                <c:pt idx="12" formatCode="#,##0">
                  <c:v>97455.388960000011</c:v>
                </c:pt>
                <c:pt idx="13" formatCode="#,##0">
                  <c:v>91467.731844000009</c:v>
                </c:pt>
                <c:pt idx="14" formatCode="#,##0">
                  <c:v>112596.92219100001</c:v>
                </c:pt>
                <c:pt idx="17" formatCode="#,##0">
                  <c:v>88966.503360000002</c:v>
                </c:pt>
                <c:pt idx="19" formatCode="#,##0">
                  <c:v>88966.503360000002</c:v>
                </c:pt>
                <c:pt idx="20" formatCode="#,##0">
                  <c:v>89259.903359999997</c:v>
                </c:pt>
                <c:pt idx="21" formatCode="#,##0">
                  <c:v>89096.503360000002</c:v>
                </c:pt>
                <c:pt idx="22" formatCode="#,##0">
                  <c:v>89711.410212000003</c:v>
                </c:pt>
                <c:pt idx="23" formatCode="#,##0">
                  <c:v>89003.774160000001</c:v>
                </c:pt>
                <c:pt idx="24" formatCode="#,##0">
                  <c:v>89016.308640000003</c:v>
                </c:pt>
              </c:numCache>
            </c:numRef>
          </c:val>
          <c:smooth val="0"/>
        </c:ser>
        <c:ser>
          <c:idx val="2"/>
          <c:order val="2"/>
          <c:tx>
            <c:v>JWEE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1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Comparison!$T$4:$T$28</c:f>
              <c:strCache>
                <c:ptCount val="25"/>
                <c:pt idx="0">
                  <c:v>Germany</c:v>
                </c:pt>
                <c:pt idx="1">
                  <c:v>Canada</c:v>
                </c:pt>
                <c:pt idx="2">
                  <c:v>Finland</c:v>
                </c:pt>
                <c:pt idx="3">
                  <c:v>Italy</c:v>
                </c:pt>
                <c:pt idx="4">
                  <c:v>Turkey</c:v>
                </c:pt>
                <c:pt idx="5">
                  <c:v>Russia</c:v>
                </c:pt>
                <c:pt idx="6">
                  <c:v>Austria</c:v>
                </c:pt>
                <c:pt idx="7">
                  <c:v>Spain</c:v>
                </c:pt>
                <c:pt idx="8">
                  <c:v>Ukraine</c:v>
                </c:pt>
                <c:pt idx="9">
                  <c:v>Belarus</c:v>
                </c:pt>
                <c:pt idx="10">
                  <c:v>Czechia</c:v>
                </c:pt>
                <c:pt idx="11">
                  <c:v>Latvia</c:v>
                </c:pt>
                <c:pt idx="12">
                  <c:v>Croatia</c:v>
                </c:pt>
                <c:pt idx="13">
                  <c:v>Serbia</c:v>
                </c:pt>
                <c:pt idx="14">
                  <c:v>Portugal</c:v>
                </c:pt>
                <c:pt idx="15">
                  <c:v>Belgium</c:v>
                </c:pt>
                <c:pt idx="16">
                  <c:v>Hungary</c:v>
                </c:pt>
                <c:pt idx="17">
                  <c:v>Lithuania</c:v>
                </c:pt>
                <c:pt idx="18">
                  <c:v>Netherlands</c:v>
                </c:pt>
                <c:pt idx="19">
                  <c:v>Slovakia</c:v>
                </c:pt>
                <c:pt idx="20">
                  <c:v>Georgia</c:v>
                </c:pt>
                <c:pt idx="21">
                  <c:v>Moldova</c:v>
                </c:pt>
                <c:pt idx="22">
                  <c:v>Montenegro</c:v>
                </c:pt>
                <c:pt idx="23">
                  <c:v>Macedonia</c:v>
                </c:pt>
                <c:pt idx="24">
                  <c:v>Kazakhstan</c:v>
                </c:pt>
              </c:strCache>
            </c:strRef>
          </c:cat>
          <c:val>
            <c:numRef>
              <c:f>Comparison!$W$4:$W$28</c:f>
              <c:numCache>
                <c:formatCode>#,##0</c:formatCode>
                <c:ptCount val="25"/>
                <c:pt idx="0">
                  <c:v>482431.33927284385</c:v>
                </c:pt>
                <c:pt idx="1">
                  <c:v>318362.40713188</c:v>
                </c:pt>
                <c:pt idx="2">
                  <c:v>172544.91316822689</c:v>
                </c:pt>
                <c:pt idx="6">
                  <c:v>164160.79223092319</c:v>
                </c:pt>
                <c:pt idx="10">
                  <c:v>62003.886230920718</c:v>
                </c:pt>
                <c:pt idx="12">
                  <c:v>27231.525127528716</c:v>
                </c:pt>
                <c:pt idx="13">
                  <c:v>56342.192373061509</c:v>
                </c:pt>
                <c:pt idx="16">
                  <c:v>21803.135201891066</c:v>
                </c:pt>
                <c:pt idx="18">
                  <c:v>25094.304978980927</c:v>
                </c:pt>
                <c:pt idx="21">
                  <c:v>14230.144976697497</c:v>
                </c:pt>
                <c:pt idx="23">
                  <c:v>4320.6054362505529</c:v>
                </c:pt>
              </c:numCache>
            </c:numRef>
          </c:val>
          <c:smooth val="0"/>
        </c:ser>
        <c:ser>
          <c:idx val="3"/>
          <c:order val="3"/>
          <c:tx>
            <c:v>FAOSTAT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15"/>
            <c:spPr>
              <a:solidFill>
                <a:schemeClr val="accent6">
                  <a:lumMod val="20000"/>
                  <a:lumOff val="8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Comparison!$T$4:$T$28</c:f>
              <c:strCache>
                <c:ptCount val="25"/>
                <c:pt idx="0">
                  <c:v>Germany</c:v>
                </c:pt>
                <c:pt idx="1">
                  <c:v>Canada</c:v>
                </c:pt>
                <c:pt idx="2">
                  <c:v>Finland</c:v>
                </c:pt>
                <c:pt idx="3">
                  <c:v>Italy</c:v>
                </c:pt>
                <c:pt idx="4">
                  <c:v>Turkey</c:v>
                </c:pt>
                <c:pt idx="5">
                  <c:v>Russia</c:v>
                </c:pt>
                <c:pt idx="6">
                  <c:v>Austria</c:v>
                </c:pt>
                <c:pt idx="7">
                  <c:v>Spain</c:v>
                </c:pt>
                <c:pt idx="8">
                  <c:v>Ukraine</c:v>
                </c:pt>
                <c:pt idx="9">
                  <c:v>Belarus</c:v>
                </c:pt>
                <c:pt idx="10">
                  <c:v>Czechia</c:v>
                </c:pt>
                <c:pt idx="11">
                  <c:v>Latvia</c:v>
                </c:pt>
                <c:pt idx="12">
                  <c:v>Croatia</c:v>
                </c:pt>
                <c:pt idx="13">
                  <c:v>Serbia</c:v>
                </c:pt>
                <c:pt idx="14">
                  <c:v>Portugal</c:v>
                </c:pt>
                <c:pt idx="15">
                  <c:v>Belgium</c:v>
                </c:pt>
                <c:pt idx="16">
                  <c:v>Hungary</c:v>
                </c:pt>
                <c:pt idx="17">
                  <c:v>Lithuania</c:v>
                </c:pt>
                <c:pt idx="18">
                  <c:v>Netherlands</c:v>
                </c:pt>
                <c:pt idx="19">
                  <c:v>Slovakia</c:v>
                </c:pt>
                <c:pt idx="20">
                  <c:v>Georgia</c:v>
                </c:pt>
                <c:pt idx="21">
                  <c:v>Moldova</c:v>
                </c:pt>
                <c:pt idx="22">
                  <c:v>Montenegro</c:v>
                </c:pt>
                <c:pt idx="23">
                  <c:v>Macedonia</c:v>
                </c:pt>
                <c:pt idx="24">
                  <c:v>Kazakhstan</c:v>
                </c:pt>
              </c:strCache>
            </c:strRef>
          </c:cat>
          <c:val>
            <c:numRef>
              <c:f>Comparison!$X$4:$X$28</c:f>
              <c:numCache>
                <c:formatCode>General</c:formatCode>
                <c:ptCount val="25"/>
                <c:pt idx="3" formatCode="#,##0">
                  <c:v>50744.882880000005</c:v>
                </c:pt>
                <c:pt idx="4" formatCode="#,##0">
                  <c:v>46448.639999999999</c:v>
                </c:pt>
                <c:pt idx="5" formatCode="#,##0">
                  <c:v>171247.71419999999</c:v>
                </c:pt>
                <c:pt idx="7" formatCode="#,##0">
                  <c:v>44874.899999999994</c:v>
                </c:pt>
                <c:pt idx="8" formatCode="#,##0">
                  <c:v>116043.73199999999</c:v>
                </c:pt>
                <c:pt idx="9" formatCode="#,##0">
                  <c:v>89096.22</c:v>
                </c:pt>
                <c:pt idx="11" formatCode="#,##0">
                  <c:v>32764.723559999999</c:v>
                </c:pt>
                <c:pt idx="14" formatCode="#,##0">
                  <c:v>20543.04</c:v>
                </c:pt>
                <c:pt idx="15" formatCode="#,##0">
                  <c:v>16722.584999999999</c:v>
                </c:pt>
                <c:pt idx="17" formatCode="#,##0">
                  <c:v>32457.420000000002</c:v>
                </c:pt>
                <c:pt idx="19" formatCode="#,##0">
                  <c:v>9378.8585999999996</c:v>
                </c:pt>
                <c:pt idx="20" formatCode="#,##0">
                  <c:v>5613.2319600000001</c:v>
                </c:pt>
                <c:pt idx="22" formatCode="#,##0">
                  <c:v>8186.7042000000001</c:v>
                </c:pt>
                <c:pt idx="24" formatCode="#,##0">
                  <c:v>2438.1000000000004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549776"/>
        <c:axId val="691551952"/>
      </c:lineChart>
      <c:catAx>
        <c:axId val="691549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551952"/>
        <c:crosses val="autoZero"/>
        <c:auto val="1"/>
        <c:lblAlgn val="ctr"/>
        <c:lblOffset val="100"/>
        <c:noMultiLvlLbl val="0"/>
      </c:catAx>
      <c:valAx>
        <c:axId val="691551952"/>
        <c:scaling>
          <c:orientation val="minMax"/>
          <c:max val="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549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120953425823595"/>
          <c:y val="0.10799994353776601"/>
          <c:w val="0.15029135474214569"/>
          <c:h val="0.2374648916515991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 b="1"/>
              <a:t>Production of wood pellets</a:t>
            </a:r>
          </a:p>
        </c:rich>
      </c:tx>
      <c:layout>
        <c:manualLayout>
          <c:xMode val="edge"/>
          <c:yMode val="edge"/>
          <c:x val="0.38264736799721527"/>
          <c:y val="1.6676055154411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07145228046682"/>
          <c:y val="8.9821402075446699E-2"/>
          <c:w val="0.88423752141109424"/>
          <c:h val="0.69051441034388128"/>
        </c:manualLayout>
      </c:layout>
      <c:lineChart>
        <c:grouping val="standard"/>
        <c:varyColors val="0"/>
        <c:ser>
          <c:idx val="0"/>
          <c:order val="0"/>
          <c:tx>
            <c:v>IEA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5"/>
            <c:spPr>
              <a:solidFill>
                <a:schemeClr val="accent5">
                  <a:lumMod val="40000"/>
                  <a:lumOff val="60000"/>
                </a:schemeClr>
              </a:solidFill>
              <a:ln w="9525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</c:marker>
          <c:cat>
            <c:strRef>
              <c:f>Comparison!$AA$4:$AA$24</c:f>
              <c:strCache>
                <c:ptCount val="21"/>
                <c:pt idx="0">
                  <c:v>Canada</c:v>
                </c:pt>
                <c:pt idx="1">
                  <c:v>Germany</c:v>
                </c:pt>
                <c:pt idx="2">
                  <c:v>Latvia</c:v>
                </c:pt>
                <c:pt idx="3">
                  <c:v>Portugal</c:v>
                </c:pt>
                <c:pt idx="4">
                  <c:v>Austria</c:v>
                </c:pt>
                <c:pt idx="5">
                  <c:v>Russia</c:v>
                </c:pt>
                <c:pt idx="6">
                  <c:v>Italy</c:v>
                </c:pt>
                <c:pt idx="7">
                  <c:v>Belgium</c:v>
                </c:pt>
                <c:pt idx="8">
                  <c:v>Spain</c:v>
                </c:pt>
                <c:pt idx="9">
                  <c:v>Lithuania</c:v>
                </c:pt>
                <c:pt idx="10">
                  <c:v>Finland</c:v>
                </c:pt>
                <c:pt idx="11">
                  <c:v>Netherlands</c:v>
                </c:pt>
                <c:pt idx="12">
                  <c:v>Croatia</c:v>
                </c:pt>
                <c:pt idx="13">
                  <c:v>Ukraine</c:v>
                </c:pt>
                <c:pt idx="14">
                  <c:v>Czechia</c:v>
                </c:pt>
                <c:pt idx="15">
                  <c:v>Serbia</c:v>
                </c:pt>
                <c:pt idx="16">
                  <c:v>Belarus</c:v>
                </c:pt>
                <c:pt idx="17">
                  <c:v>Slovakia</c:v>
                </c:pt>
                <c:pt idx="18">
                  <c:v>Georgia</c:v>
                </c:pt>
                <c:pt idx="19">
                  <c:v>Hungary</c:v>
                </c:pt>
                <c:pt idx="20">
                  <c:v>Montenegro</c:v>
                </c:pt>
              </c:strCache>
            </c:strRef>
          </c:cat>
          <c:val>
            <c:numRef>
              <c:f>Comparison!$AB$4:$AB$24</c:f>
              <c:numCache>
                <c:formatCode>#,##0</c:formatCode>
                <c:ptCount val="21"/>
                <c:pt idx="0">
                  <c:v>39541</c:v>
                </c:pt>
                <c:pt idx="1">
                  <c:v>35280</c:v>
                </c:pt>
                <c:pt idx="6">
                  <c:v>0</c:v>
                </c:pt>
                <c:pt idx="7">
                  <c:v>3089</c:v>
                </c:pt>
                <c:pt idx="8">
                  <c:v>2599</c:v>
                </c:pt>
                <c:pt idx="11">
                  <c:v>3836</c:v>
                </c:pt>
                <c:pt idx="1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IRENA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5"/>
            <c:spPr>
              <a:solidFill>
                <a:schemeClr val="tx2">
                  <a:lumMod val="20000"/>
                  <a:lumOff val="8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Comparison!$AA$4:$AA$24</c:f>
              <c:strCache>
                <c:ptCount val="21"/>
                <c:pt idx="0">
                  <c:v>Canada</c:v>
                </c:pt>
                <c:pt idx="1">
                  <c:v>Germany</c:v>
                </c:pt>
                <c:pt idx="2">
                  <c:v>Latvia</c:v>
                </c:pt>
                <c:pt idx="3">
                  <c:v>Portugal</c:v>
                </c:pt>
                <c:pt idx="4">
                  <c:v>Austria</c:v>
                </c:pt>
                <c:pt idx="5">
                  <c:v>Russia</c:v>
                </c:pt>
                <c:pt idx="6">
                  <c:v>Italy</c:v>
                </c:pt>
                <c:pt idx="7">
                  <c:v>Belgium</c:v>
                </c:pt>
                <c:pt idx="8">
                  <c:v>Spain</c:v>
                </c:pt>
                <c:pt idx="9">
                  <c:v>Lithuania</c:v>
                </c:pt>
                <c:pt idx="10">
                  <c:v>Finland</c:v>
                </c:pt>
                <c:pt idx="11">
                  <c:v>Netherlands</c:v>
                </c:pt>
                <c:pt idx="12">
                  <c:v>Croatia</c:v>
                </c:pt>
                <c:pt idx="13">
                  <c:v>Ukraine</c:v>
                </c:pt>
                <c:pt idx="14">
                  <c:v>Czechia</c:v>
                </c:pt>
                <c:pt idx="15">
                  <c:v>Serbia</c:v>
                </c:pt>
                <c:pt idx="16">
                  <c:v>Belarus</c:v>
                </c:pt>
                <c:pt idx="17">
                  <c:v>Slovakia</c:v>
                </c:pt>
                <c:pt idx="18">
                  <c:v>Georgia</c:v>
                </c:pt>
                <c:pt idx="19">
                  <c:v>Hungary</c:v>
                </c:pt>
                <c:pt idx="20">
                  <c:v>Montenegro</c:v>
                </c:pt>
              </c:strCache>
            </c:strRef>
          </c:cat>
          <c:val>
            <c:numRef>
              <c:f>Comparison!$AC$4:$AC$24</c:f>
              <c:numCache>
                <c:formatCode>General</c:formatCode>
                <c:ptCount val="21"/>
                <c:pt idx="2" formatCode="#,##0">
                  <c:v>21184.316999999999</c:v>
                </c:pt>
                <c:pt idx="3" formatCode="#,##0">
                  <c:v>18972.415975</c:v>
                </c:pt>
                <c:pt idx="4" formatCode="#,##0">
                  <c:v>16626.875282999998</c:v>
                </c:pt>
                <c:pt idx="5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  <c:pt idx="12" formatCode="#,##0">
                  <c:v>3632.0895999999998</c:v>
                </c:pt>
                <c:pt idx="13" formatCode="#,##0">
                  <c:v>1274.499</c:v>
                </c:pt>
                <c:pt idx="14" formatCode="#,##0">
                  <c:v>3024</c:v>
                </c:pt>
                <c:pt idx="15" formatCode="#,##0">
                  <c:v>2393.7642000000001</c:v>
                </c:pt>
                <c:pt idx="16" formatCode="#,##0">
                  <c:v>96</c:v>
                </c:pt>
                <c:pt idx="17" formatCode="#,##0">
                  <c:v>0</c:v>
                </c:pt>
                <c:pt idx="18" formatCode="#,##0">
                  <c:v>293.39999999999998</c:v>
                </c:pt>
                <c:pt idx="20" formatCode="#,##0">
                  <c:v>5.6681999999999997</c:v>
                </c:pt>
              </c:numCache>
            </c:numRef>
          </c:val>
          <c:smooth val="0"/>
        </c:ser>
        <c:ser>
          <c:idx val="2"/>
          <c:order val="2"/>
          <c:tx>
            <c:v>JWEE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Comparison!$AA$4:$AA$24</c:f>
              <c:strCache>
                <c:ptCount val="21"/>
                <c:pt idx="0">
                  <c:v>Canada</c:v>
                </c:pt>
                <c:pt idx="1">
                  <c:v>Germany</c:v>
                </c:pt>
                <c:pt idx="2">
                  <c:v>Latvia</c:v>
                </c:pt>
                <c:pt idx="3">
                  <c:v>Portugal</c:v>
                </c:pt>
                <c:pt idx="4">
                  <c:v>Austria</c:v>
                </c:pt>
                <c:pt idx="5">
                  <c:v>Russia</c:v>
                </c:pt>
                <c:pt idx="6">
                  <c:v>Italy</c:v>
                </c:pt>
                <c:pt idx="7">
                  <c:v>Belgium</c:v>
                </c:pt>
                <c:pt idx="8">
                  <c:v>Spain</c:v>
                </c:pt>
                <c:pt idx="9">
                  <c:v>Lithuania</c:v>
                </c:pt>
                <c:pt idx="10">
                  <c:v>Finland</c:v>
                </c:pt>
                <c:pt idx="11">
                  <c:v>Netherlands</c:v>
                </c:pt>
                <c:pt idx="12">
                  <c:v>Croatia</c:v>
                </c:pt>
                <c:pt idx="13">
                  <c:v>Ukraine</c:v>
                </c:pt>
                <c:pt idx="14">
                  <c:v>Czechia</c:v>
                </c:pt>
                <c:pt idx="15">
                  <c:v>Serbia</c:v>
                </c:pt>
                <c:pt idx="16">
                  <c:v>Belarus</c:v>
                </c:pt>
                <c:pt idx="17">
                  <c:v>Slovakia</c:v>
                </c:pt>
                <c:pt idx="18">
                  <c:v>Georgia</c:v>
                </c:pt>
                <c:pt idx="19">
                  <c:v>Hungary</c:v>
                </c:pt>
                <c:pt idx="20">
                  <c:v>Montenegro</c:v>
                </c:pt>
              </c:strCache>
            </c:strRef>
          </c:cat>
          <c:val>
            <c:numRef>
              <c:f>Comparison!$AD$4:$AD$24</c:f>
              <c:numCache>
                <c:formatCode>#,##0</c:formatCode>
                <c:ptCount val="21"/>
                <c:pt idx="0">
                  <c:v>42436.9</c:v>
                </c:pt>
                <c:pt idx="1">
                  <c:v>38190.061399999999</c:v>
                </c:pt>
                <c:pt idx="4">
                  <c:v>16642.600000000002</c:v>
                </c:pt>
                <c:pt idx="10">
                  <c:v>4671</c:v>
                </c:pt>
                <c:pt idx="11">
                  <c:v>3892.5</c:v>
                </c:pt>
                <c:pt idx="12">
                  <c:v>3148.6</c:v>
                </c:pt>
                <c:pt idx="14">
                  <c:v>2771</c:v>
                </c:pt>
                <c:pt idx="15">
                  <c:v>2889.1</c:v>
                </c:pt>
                <c:pt idx="19">
                  <c:v>76.448700000000002</c:v>
                </c:pt>
              </c:numCache>
            </c:numRef>
          </c:val>
          <c:smooth val="0"/>
        </c:ser>
        <c:ser>
          <c:idx val="3"/>
          <c:order val="3"/>
          <c:tx>
            <c:v>FAOSTAT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5"/>
            <c:spPr>
              <a:solidFill>
                <a:schemeClr val="accent6">
                  <a:lumMod val="20000"/>
                  <a:lumOff val="8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Comparison!$AA$4:$AA$24</c:f>
              <c:strCache>
                <c:ptCount val="21"/>
                <c:pt idx="0">
                  <c:v>Canada</c:v>
                </c:pt>
                <c:pt idx="1">
                  <c:v>Germany</c:v>
                </c:pt>
                <c:pt idx="2">
                  <c:v>Latvia</c:v>
                </c:pt>
                <c:pt idx="3">
                  <c:v>Portugal</c:v>
                </c:pt>
                <c:pt idx="4">
                  <c:v>Austria</c:v>
                </c:pt>
                <c:pt idx="5">
                  <c:v>Russia</c:v>
                </c:pt>
                <c:pt idx="6">
                  <c:v>Italy</c:v>
                </c:pt>
                <c:pt idx="7">
                  <c:v>Belgium</c:v>
                </c:pt>
                <c:pt idx="8">
                  <c:v>Spain</c:v>
                </c:pt>
                <c:pt idx="9">
                  <c:v>Lithuania</c:v>
                </c:pt>
                <c:pt idx="10">
                  <c:v>Finland</c:v>
                </c:pt>
                <c:pt idx="11">
                  <c:v>Netherlands</c:v>
                </c:pt>
                <c:pt idx="12">
                  <c:v>Croatia</c:v>
                </c:pt>
                <c:pt idx="13">
                  <c:v>Ukraine</c:v>
                </c:pt>
                <c:pt idx="14">
                  <c:v>Czechia</c:v>
                </c:pt>
                <c:pt idx="15">
                  <c:v>Serbia</c:v>
                </c:pt>
                <c:pt idx="16">
                  <c:v>Belarus</c:v>
                </c:pt>
                <c:pt idx="17">
                  <c:v>Slovakia</c:v>
                </c:pt>
                <c:pt idx="18">
                  <c:v>Georgia</c:v>
                </c:pt>
                <c:pt idx="19">
                  <c:v>Hungary</c:v>
                </c:pt>
                <c:pt idx="20">
                  <c:v>Montenegro</c:v>
                </c:pt>
              </c:strCache>
            </c:strRef>
          </c:cat>
          <c:val>
            <c:numRef>
              <c:f>Comparison!$AE$4:$AE$24</c:f>
              <c:numCache>
                <c:formatCode>General</c:formatCode>
                <c:ptCount val="21"/>
                <c:pt idx="2" formatCode="#,##0">
                  <c:v>18495.624240000001</c:v>
                </c:pt>
                <c:pt idx="3" formatCode="#,##0">
                  <c:v>13739.04</c:v>
                </c:pt>
                <c:pt idx="5" formatCode="#,##0">
                  <c:v>11556.36</c:v>
                </c:pt>
                <c:pt idx="6" formatCode="#,##0">
                  <c:v>6768</c:v>
                </c:pt>
                <c:pt idx="7" formatCode="#,##0">
                  <c:v>6598.8</c:v>
                </c:pt>
                <c:pt idx="8" formatCode="#,##0">
                  <c:v>5922</c:v>
                </c:pt>
                <c:pt idx="9" formatCode="#,##0">
                  <c:v>4889.88</c:v>
                </c:pt>
                <c:pt idx="13" formatCode="#,##0">
                  <c:v>3553.2</c:v>
                </c:pt>
                <c:pt idx="16" formatCode="#,##0">
                  <c:v>2538</c:v>
                </c:pt>
                <c:pt idx="17" formatCode="#,##0">
                  <c:v>1556.64</c:v>
                </c:pt>
                <c:pt idx="18" formatCode="#,##0">
                  <c:v>0</c:v>
                </c:pt>
                <c:pt idx="20" formatCode="#,##0">
                  <c:v>44.584200000000003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553040"/>
        <c:axId val="691553584"/>
      </c:lineChart>
      <c:catAx>
        <c:axId val="691553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553584"/>
        <c:crosses val="autoZero"/>
        <c:auto val="1"/>
        <c:lblAlgn val="ctr"/>
        <c:lblOffset val="100"/>
        <c:noMultiLvlLbl val="0"/>
      </c:catAx>
      <c:valAx>
        <c:axId val="691553584"/>
        <c:scaling>
          <c:orientation val="minMax"/>
          <c:max val="4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553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3216235530498706"/>
          <c:y val="0.10799994353776601"/>
          <c:w val="0.13933853369539451"/>
          <c:h val="0.2374648916515991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 b="1"/>
              <a:t>Charcoal</a:t>
            </a:r>
            <a:r>
              <a:rPr lang="en-GB" sz="2000" b="1" baseline="0"/>
              <a:t> supply</a:t>
            </a:r>
            <a:endParaRPr lang="en-GB" sz="2000" b="1"/>
          </a:p>
        </c:rich>
      </c:tx>
      <c:layout>
        <c:manualLayout>
          <c:xMode val="edge"/>
          <c:yMode val="edge"/>
          <c:x val="0.41276762587578103"/>
          <c:y val="1.6676055154411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07145228046682"/>
          <c:y val="8.9821402075446699E-2"/>
          <c:w val="0.88423752141109424"/>
          <c:h val="0.69051441034388128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Comparison!$AI$3</c:f>
              <c:strCache>
                <c:ptCount val="1"/>
                <c:pt idx="0">
                  <c:v>IEA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5"/>
            <c:spPr>
              <a:solidFill>
                <a:schemeClr val="accent5">
                  <a:lumMod val="40000"/>
                  <a:lumOff val="60000"/>
                </a:schemeClr>
              </a:solidFill>
              <a:ln w="9525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</c:marker>
          <c:cat>
            <c:strRef>
              <c:f>Comparison!$AH$4:$AH$28</c:f>
              <c:strCache>
                <c:ptCount val="25"/>
                <c:pt idx="0">
                  <c:v>Canada</c:v>
                </c:pt>
                <c:pt idx="1">
                  <c:v>Germany</c:v>
                </c:pt>
                <c:pt idx="2">
                  <c:v>Turkey</c:v>
                </c:pt>
                <c:pt idx="3">
                  <c:v>Italy</c:v>
                </c:pt>
                <c:pt idx="4">
                  <c:v>Portugal</c:v>
                </c:pt>
                <c:pt idx="5">
                  <c:v>Russia</c:v>
                </c:pt>
                <c:pt idx="6">
                  <c:v>Ukraine</c:v>
                </c:pt>
                <c:pt idx="7">
                  <c:v>Netherlands</c:v>
                </c:pt>
                <c:pt idx="8">
                  <c:v>Spain</c:v>
                </c:pt>
                <c:pt idx="9">
                  <c:v>Belgium</c:v>
                </c:pt>
                <c:pt idx="10">
                  <c:v>Czechia</c:v>
                </c:pt>
                <c:pt idx="11">
                  <c:v>Serbia</c:v>
                </c:pt>
                <c:pt idx="12">
                  <c:v>Austria</c:v>
                </c:pt>
                <c:pt idx="13">
                  <c:v>Belarus</c:v>
                </c:pt>
                <c:pt idx="14">
                  <c:v>Croatia</c:v>
                </c:pt>
                <c:pt idx="15">
                  <c:v>Slovakia</c:v>
                </c:pt>
                <c:pt idx="16">
                  <c:v>Lithuania</c:v>
                </c:pt>
                <c:pt idx="17">
                  <c:v>Latvia</c:v>
                </c:pt>
                <c:pt idx="18">
                  <c:v>Finland</c:v>
                </c:pt>
                <c:pt idx="19">
                  <c:v>Montenegro</c:v>
                </c:pt>
                <c:pt idx="20">
                  <c:v>Kazakhstan</c:v>
                </c:pt>
                <c:pt idx="21">
                  <c:v>Hungary</c:v>
                </c:pt>
                <c:pt idx="22">
                  <c:v>Macedonia</c:v>
                </c:pt>
                <c:pt idx="23">
                  <c:v>Moldova</c:v>
                </c:pt>
                <c:pt idx="24">
                  <c:v>Georgia</c:v>
                </c:pt>
              </c:strCache>
            </c:strRef>
          </c:cat>
          <c:val>
            <c:numRef>
              <c:f>Comparison!$AI$4:$AI$28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3">
                  <c:v>66000</c:v>
                </c:pt>
                <c:pt idx="7">
                  <c:v>9000</c:v>
                </c:pt>
                <c:pt idx="8">
                  <c:v>36000</c:v>
                </c:pt>
                <c:pt idx="9">
                  <c:v>9000</c:v>
                </c:pt>
                <c:pt idx="2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Comparison!$AJ$3</c:f>
              <c:strCache>
                <c:ptCount val="1"/>
                <c:pt idx="0">
                  <c:v>IRENA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5"/>
            <c:spPr>
              <a:solidFill>
                <a:schemeClr val="tx2">
                  <a:lumMod val="20000"/>
                  <a:lumOff val="8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Comparison!$AH$4:$AH$28</c:f>
              <c:strCache>
                <c:ptCount val="25"/>
                <c:pt idx="0">
                  <c:v>Canada</c:v>
                </c:pt>
                <c:pt idx="1">
                  <c:v>Germany</c:v>
                </c:pt>
                <c:pt idx="2">
                  <c:v>Turkey</c:v>
                </c:pt>
                <c:pt idx="3">
                  <c:v>Italy</c:v>
                </c:pt>
                <c:pt idx="4">
                  <c:v>Portugal</c:v>
                </c:pt>
                <c:pt idx="5">
                  <c:v>Russia</c:v>
                </c:pt>
                <c:pt idx="6">
                  <c:v>Ukraine</c:v>
                </c:pt>
                <c:pt idx="7">
                  <c:v>Netherlands</c:v>
                </c:pt>
                <c:pt idx="8">
                  <c:v>Spain</c:v>
                </c:pt>
                <c:pt idx="9">
                  <c:v>Belgium</c:v>
                </c:pt>
                <c:pt idx="10">
                  <c:v>Czechia</c:v>
                </c:pt>
                <c:pt idx="11">
                  <c:v>Serbia</c:v>
                </c:pt>
                <c:pt idx="12">
                  <c:v>Austria</c:v>
                </c:pt>
                <c:pt idx="13">
                  <c:v>Belarus</c:v>
                </c:pt>
                <c:pt idx="14">
                  <c:v>Croatia</c:v>
                </c:pt>
                <c:pt idx="15">
                  <c:v>Slovakia</c:v>
                </c:pt>
                <c:pt idx="16">
                  <c:v>Lithuania</c:v>
                </c:pt>
                <c:pt idx="17">
                  <c:v>Latvia</c:v>
                </c:pt>
                <c:pt idx="18">
                  <c:v>Finland</c:v>
                </c:pt>
                <c:pt idx="19">
                  <c:v>Montenegro</c:v>
                </c:pt>
                <c:pt idx="20">
                  <c:v>Kazakhstan</c:v>
                </c:pt>
                <c:pt idx="21">
                  <c:v>Hungary</c:v>
                </c:pt>
                <c:pt idx="22">
                  <c:v>Macedonia</c:v>
                </c:pt>
                <c:pt idx="23">
                  <c:v>Moldova</c:v>
                </c:pt>
                <c:pt idx="24">
                  <c:v>Georgia</c:v>
                </c:pt>
              </c:strCache>
            </c:strRef>
          </c:cat>
          <c:val>
            <c:numRef>
              <c:f>Comparison!$AJ$4:$AJ$28</c:f>
              <c:numCache>
                <c:formatCode>General</c:formatCode>
                <c:ptCount val="25"/>
                <c:pt idx="2" formatCode="#,##0">
                  <c:v>0</c:v>
                </c:pt>
                <c:pt idx="4" formatCode="#,##0">
                  <c:v>47220</c:v>
                </c:pt>
                <c:pt idx="5" formatCode="#,##0">
                  <c:v>0</c:v>
                </c:pt>
                <c:pt idx="6" formatCode="#,##0">
                  <c:v>45000</c:v>
                </c:pt>
                <c:pt idx="10" formatCode="#,##0">
                  <c:v>0</c:v>
                </c:pt>
                <c:pt idx="11" formatCode="#,##0">
                  <c:v>870</c:v>
                </c:pt>
                <c:pt idx="12" formatCode="#,##0">
                  <c:v>12190.283300000001</c:v>
                </c:pt>
                <c:pt idx="13" formatCode="#,##0">
                  <c:v>3622</c:v>
                </c:pt>
                <c:pt idx="14" formatCode="#,##0">
                  <c:v>5000</c:v>
                </c:pt>
                <c:pt idx="15" formatCode="#,##0">
                  <c:v>844.15584415584419</c:v>
                </c:pt>
                <c:pt idx="16" formatCode="#,##0">
                  <c:v>1000</c:v>
                </c:pt>
                <c:pt idx="17" formatCode="#,##0">
                  <c:v>3000</c:v>
                </c:pt>
                <c:pt idx="18" formatCode="#,##0">
                  <c:v>0</c:v>
                </c:pt>
                <c:pt idx="19" formatCode="#,##0">
                  <c:v>693</c:v>
                </c:pt>
                <c:pt idx="20" formatCode="#,##0">
                  <c:v>0</c:v>
                </c:pt>
                <c:pt idx="22" formatCode="#,##0">
                  <c:v>0</c:v>
                </c:pt>
                <c:pt idx="23" formatCode="#,##0">
                  <c:v>454.5454545454545</c:v>
                </c:pt>
                <c:pt idx="24" formatCode="#,##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Comparison!$AK$3</c:f>
              <c:strCache>
                <c:ptCount val="1"/>
                <c:pt idx="0">
                  <c:v>JWEE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Comparison!$AH$4:$AH$28</c:f>
              <c:strCache>
                <c:ptCount val="25"/>
                <c:pt idx="0">
                  <c:v>Canada</c:v>
                </c:pt>
                <c:pt idx="1">
                  <c:v>Germany</c:v>
                </c:pt>
                <c:pt idx="2">
                  <c:v>Turkey</c:v>
                </c:pt>
                <c:pt idx="3">
                  <c:v>Italy</c:v>
                </c:pt>
                <c:pt idx="4">
                  <c:v>Portugal</c:v>
                </c:pt>
                <c:pt idx="5">
                  <c:v>Russia</c:v>
                </c:pt>
                <c:pt idx="6">
                  <c:v>Ukraine</c:v>
                </c:pt>
                <c:pt idx="7">
                  <c:v>Netherlands</c:v>
                </c:pt>
                <c:pt idx="8">
                  <c:v>Spain</c:v>
                </c:pt>
                <c:pt idx="9">
                  <c:v>Belgium</c:v>
                </c:pt>
                <c:pt idx="10">
                  <c:v>Czechia</c:v>
                </c:pt>
                <c:pt idx="11">
                  <c:v>Serbia</c:v>
                </c:pt>
                <c:pt idx="12">
                  <c:v>Austria</c:v>
                </c:pt>
                <c:pt idx="13">
                  <c:v>Belarus</c:v>
                </c:pt>
                <c:pt idx="14">
                  <c:v>Croatia</c:v>
                </c:pt>
                <c:pt idx="15">
                  <c:v>Slovakia</c:v>
                </c:pt>
                <c:pt idx="16">
                  <c:v>Lithuania</c:v>
                </c:pt>
                <c:pt idx="17">
                  <c:v>Latvia</c:v>
                </c:pt>
                <c:pt idx="18">
                  <c:v>Finland</c:v>
                </c:pt>
                <c:pt idx="19">
                  <c:v>Montenegro</c:v>
                </c:pt>
                <c:pt idx="20">
                  <c:v>Kazakhstan</c:v>
                </c:pt>
                <c:pt idx="21">
                  <c:v>Hungary</c:v>
                </c:pt>
                <c:pt idx="22">
                  <c:v>Macedonia</c:v>
                </c:pt>
                <c:pt idx="23">
                  <c:v>Moldova</c:v>
                </c:pt>
                <c:pt idx="24">
                  <c:v>Georgia</c:v>
                </c:pt>
              </c:strCache>
            </c:strRef>
          </c:cat>
          <c:val>
            <c:numRef>
              <c:f>Comparison!$AK$4:$AK$28</c:f>
              <c:numCache>
                <c:formatCode>#,##0</c:formatCode>
                <c:ptCount val="25"/>
                <c:pt idx="0">
                  <c:v>1294173</c:v>
                </c:pt>
                <c:pt idx="1">
                  <c:v>207898.70078635178</c:v>
                </c:pt>
                <c:pt idx="7">
                  <c:v>36000</c:v>
                </c:pt>
                <c:pt idx="10">
                  <c:v>21000</c:v>
                </c:pt>
                <c:pt idx="11">
                  <c:v>17300</c:v>
                </c:pt>
                <c:pt idx="12">
                  <c:v>12290</c:v>
                </c:pt>
                <c:pt idx="14">
                  <c:v>5000</c:v>
                </c:pt>
                <c:pt idx="18">
                  <c:v>2630</c:v>
                </c:pt>
                <c:pt idx="21">
                  <c:v>687</c:v>
                </c:pt>
                <c:pt idx="22">
                  <c:v>540</c:v>
                </c:pt>
                <c:pt idx="23">
                  <c:v>460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Comparison!$AL$3</c:f>
              <c:strCache>
                <c:ptCount val="1"/>
                <c:pt idx="0">
                  <c:v>FAOSTAT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5"/>
            <c:spPr>
              <a:solidFill>
                <a:schemeClr val="accent6">
                  <a:lumMod val="20000"/>
                  <a:lumOff val="8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Comparison!$AH$4:$AH$28</c:f>
              <c:strCache>
                <c:ptCount val="25"/>
                <c:pt idx="0">
                  <c:v>Canada</c:v>
                </c:pt>
                <c:pt idx="1">
                  <c:v>Germany</c:v>
                </c:pt>
                <c:pt idx="2">
                  <c:v>Turkey</c:v>
                </c:pt>
                <c:pt idx="3">
                  <c:v>Italy</c:v>
                </c:pt>
                <c:pt idx="4">
                  <c:v>Portugal</c:v>
                </c:pt>
                <c:pt idx="5">
                  <c:v>Russia</c:v>
                </c:pt>
                <c:pt idx="6">
                  <c:v>Ukraine</c:v>
                </c:pt>
                <c:pt idx="7">
                  <c:v>Netherlands</c:v>
                </c:pt>
                <c:pt idx="8">
                  <c:v>Spain</c:v>
                </c:pt>
                <c:pt idx="9">
                  <c:v>Belgium</c:v>
                </c:pt>
                <c:pt idx="10">
                  <c:v>Czechia</c:v>
                </c:pt>
                <c:pt idx="11">
                  <c:v>Serbia</c:v>
                </c:pt>
                <c:pt idx="12">
                  <c:v>Austria</c:v>
                </c:pt>
                <c:pt idx="13">
                  <c:v>Belarus</c:v>
                </c:pt>
                <c:pt idx="14">
                  <c:v>Croatia</c:v>
                </c:pt>
                <c:pt idx="15">
                  <c:v>Slovakia</c:v>
                </c:pt>
                <c:pt idx="16">
                  <c:v>Lithuania</c:v>
                </c:pt>
                <c:pt idx="17">
                  <c:v>Latvia</c:v>
                </c:pt>
                <c:pt idx="18">
                  <c:v>Finland</c:v>
                </c:pt>
                <c:pt idx="19">
                  <c:v>Montenegro</c:v>
                </c:pt>
                <c:pt idx="20">
                  <c:v>Kazakhstan</c:v>
                </c:pt>
                <c:pt idx="21">
                  <c:v>Hungary</c:v>
                </c:pt>
                <c:pt idx="22">
                  <c:v>Macedonia</c:v>
                </c:pt>
                <c:pt idx="23">
                  <c:v>Moldova</c:v>
                </c:pt>
                <c:pt idx="24">
                  <c:v>Georgia</c:v>
                </c:pt>
              </c:strCache>
            </c:strRef>
          </c:cat>
          <c:val>
            <c:numRef>
              <c:f>Comparison!$AL$4:$AL$28</c:f>
              <c:numCache>
                <c:formatCode>General</c:formatCode>
                <c:ptCount val="25"/>
                <c:pt idx="2" formatCode="#,##0">
                  <c:v>72931</c:v>
                </c:pt>
                <c:pt idx="3" formatCode="#,##0">
                  <c:v>66112</c:v>
                </c:pt>
                <c:pt idx="4" formatCode="#,##0">
                  <c:v>42896</c:v>
                </c:pt>
                <c:pt idx="5" formatCode="#,##0">
                  <c:v>45778</c:v>
                </c:pt>
                <c:pt idx="6" formatCode="#,##0">
                  <c:v>12240</c:v>
                </c:pt>
                <c:pt idx="8" formatCode="#,##0">
                  <c:v>-4354</c:v>
                </c:pt>
                <c:pt idx="9" formatCode="#,##0">
                  <c:v>27660</c:v>
                </c:pt>
                <c:pt idx="13" formatCode="#,##0">
                  <c:v>5060</c:v>
                </c:pt>
                <c:pt idx="15" formatCode="#,##0">
                  <c:v>4436</c:v>
                </c:pt>
                <c:pt idx="16" formatCode="#,##0">
                  <c:v>3878</c:v>
                </c:pt>
                <c:pt idx="17" formatCode="#,##0">
                  <c:v>2003</c:v>
                </c:pt>
                <c:pt idx="19" formatCode="#,##0">
                  <c:v>2530</c:v>
                </c:pt>
                <c:pt idx="20" formatCode="#,##0">
                  <c:v>1617</c:v>
                </c:pt>
                <c:pt idx="24" formatCode="#,##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547600"/>
        <c:axId val="691548144"/>
      </c:lineChart>
      <c:catAx>
        <c:axId val="691547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548144"/>
        <c:crosses val="autoZero"/>
        <c:auto val="1"/>
        <c:lblAlgn val="ctr"/>
        <c:lblOffset val="100"/>
        <c:noMultiLvlLbl val="0"/>
      </c:catAx>
      <c:valAx>
        <c:axId val="691548144"/>
        <c:scaling>
          <c:orientation val="minMax"/>
          <c:max val="8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54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394773951992362"/>
          <c:y val="0.10799994353776601"/>
          <c:w val="0.14755314948045786"/>
          <c:h val="0.2270423571800921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 b="1"/>
              <a:t>Production of black liquor</a:t>
            </a:r>
          </a:p>
        </c:rich>
      </c:tx>
      <c:layout>
        <c:manualLayout>
          <c:xMode val="edge"/>
          <c:yMode val="edge"/>
          <c:x val="0.38264736799721527"/>
          <c:y val="1.6676055154411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07145228046682"/>
          <c:y val="8.9821402075446699E-2"/>
          <c:w val="0.88423752141109424"/>
          <c:h val="0.69051441034388128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Comparison!$AP$3</c:f>
              <c:strCache>
                <c:ptCount val="1"/>
                <c:pt idx="0">
                  <c:v>IEA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5"/>
            <c:spPr>
              <a:solidFill>
                <a:schemeClr val="accent5">
                  <a:lumMod val="40000"/>
                  <a:lumOff val="60000"/>
                </a:schemeClr>
              </a:solidFill>
              <a:ln w="9525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</c:marker>
          <c:cat>
            <c:strRef>
              <c:f>Comparison!$AO$4:$AO$16</c:f>
              <c:strCache>
                <c:ptCount val="13"/>
                <c:pt idx="0">
                  <c:v>Canada</c:v>
                </c:pt>
                <c:pt idx="1">
                  <c:v>Finland</c:v>
                </c:pt>
                <c:pt idx="2">
                  <c:v>Germany</c:v>
                </c:pt>
                <c:pt idx="3">
                  <c:v>Portugal</c:v>
                </c:pt>
                <c:pt idx="4">
                  <c:v>Austria</c:v>
                </c:pt>
                <c:pt idx="5">
                  <c:v>Spain</c:v>
                </c:pt>
                <c:pt idx="6">
                  <c:v>Czechia</c:v>
                </c:pt>
                <c:pt idx="7">
                  <c:v>Belgium</c:v>
                </c:pt>
                <c:pt idx="8">
                  <c:v>Hungary</c:v>
                </c:pt>
                <c:pt idx="9">
                  <c:v>Italy</c:v>
                </c:pt>
                <c:pt idx="10">
                  <c:v>Russia</c:v>
                </c:pt>
                <c:pt idx="11">
                  <c:v>Belarus</c:v>
                </c:pt>
                <c:pt idx="12">
                  <c:v>Slovakia</c:v>
                </c:pt>
              </c:strCache>
            </c:strRef>
          </c:cat>
          <c:val>
            <c:numRef>
              <c:f>Comparison!$AP$4:$AP$16</c:f>
              <c:numCache>
                <c:formatCode>General</c:formatCode>
                <c:ptCount val="13"/>
                <c:pt idx="0" formatCode="#,##0">
                  <c:v>191861</c:v>
                </c:pt>
                <c:pt idx="2" formatCode="#,##0">
                  <c:v>33674</c:v>
                </c:pt>
                <c:pt idx="5" formatCode="#,##0">
                  <c:v>20532</c:v>
                </c:pt>
                <c:pt idx="7" formatCode="#,##0">
                  <c:v>1735</c:v>
                </c:pt>
                <c:pt idx="8" formatCode="#,##0">
                  <c:v>330</c:v>
                </c:pt>
                <c:pt idx="9" formatCode="#,##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Comparison!$AQ$3</c:f>
              <c:strCache>
                <c:ptCount val="1"/>
                <c:pt idx="0">
                  <c:v>IRENA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5"/>
            <c:spPr>
              <a:solidFill>
                <a:schemeClr val="tx2">
                  <a:lumMod val="20000"/>
                  <a:lumOff val="8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Comparison!$AO$4:$AO$16</c:f>
              <c:strCache>
                <c:ptCount val="13"/>
                <c:pt idx="0">
                  <c:v>Canada</c:v>
                </c:pt>
                <c:pt idx="1">
                  <c:v>Finland</c:v>
                </c:pt>
                <c:pt idx="2">
                  <c:v>Germany</c:v>
                </c:pt>
                <c:pt idx="3">
                  <c:v>Portugal</c:v>
                </c:pt>
                <c:pt idx="4">
                  <c:v>Austria</c:v>
                </c:pt>
                <c:pt idx="5">
                  <c:v>Spain</c:v>
                </c:pt>
                <c:pt idx="6">
                  <c:v>Czechia</c:v>
                </c:pt>
                <c:pt idx="7">
                  <c:v>Belgium</c:v>
                </c:pt>
                <c:pt idx="8">
                  <c:v>Hungary</c:v>
                </c:pt>
                <c:pt idx="9">
                  <c:v>Italy</c:v>
                </c:pt>
                <c:pt idx="10">
                  <c:v>Russia</c:v>
                </c:pt>
                <c:pt idx="11">
                  <c:v>Belarus</c:v>
                </c:pt>
                <c:pt idx="12">
                  <c:v>Slovakia</c:v>
                </c:pt>
              </c:strCache>
            </c:strRef>
          </c:cat>
          <c:val>
            <c:numRef>
              <c:f>Comparison!$AQ$4:$AQ$16</c:f>
              <c:numCache>
                <c:formatCode>#,##0</c:formatCode>
                <c:ptCount val="13"/>
                <c:pt idx="1">
                  <c:v>0</c:v>
                </c:pt>
                <c:pt idx="3">
                  <c:v>41266.532476259992</c:v>
                </c:pt>
                <c:pt idx="4">
                  <c:v>29094.853880537645</c:v>
                </c:pt>
                <c:pt idx="6">
                  <c:v>14218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Comparison!$AR$3</c:f>
              <c:strCache>
                <c:ptCount val="1"/>
                <c:pt idx="0">
                  <c:v>JWEE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Comparison!$AO$4:$AO$16</c:f>
              <c:strCache>
                <c:ptCount val="13"/>
                <c:pt idx="0">
                  <c:v>Canada</c:v>
                </c:pt>
                <c:pt idx="1">
                  <c:v>Finland</c:v>
                </c:pt>
                <c:pt idx="2">
                  <c:v>Germany</c:v>
                </c:pt>
                <c:pt idx="3">
                  <c:v>Portugal</c:v>
                </c:pt>
                <c:pt idx="4">
                  <c:v>Austria</c:v>
                </c:pt>
                <c:pt idx="5">
                  <c:v>Spain</c:v>
                </c:pt>
                <c:pt idx="6">
                  <c:v>Czechia</c:v>
                </c:pt>
                <c:pt idx="7">
                  <c:v>Belgium</c:v>
                </c:pt>
                <c:pt idx="8">
                  <c:v>Hungary</c:v>
                </c:pt>
                <c:pt idx="9">
                  <c:v>Italy</c:v>
                </c:pt>
                <c:pt idx="10">
                  <c:v>Russia</c:v>
                </c:pt>
                <c:pt idx="11">
                  <c:v>Belarus</c:v>
                </c:pt>
                <c:pt idx="12">
                  <c:v>Slovakia</c:v>
                </c:pt>
              </c:strCache>
            </c:strRef>
          </c:cat>
          <c:val>
            <c:numRef>
              <c:f>Comparison!$AR$4:$AR$16</c:f>
              <c:numCache>
                <c:formatCode>#,##0</c:formatCode>
                <c:ptCount val="13"/>
                <c:pt idx="0">
                  <c:v>244353.06000000003</c:v>
                </c:pt>
                <c:pt idx="1">
                  <c:v>157768.98310115191</c:v>
                </c:pt>
                <c:pt idx="2">
                  <c:v>43070.483950401605</c:v>
                </c:pt>
                <c:pt idx="4">
                  <c:v>18417.663086289693</c:v>
                </c:pt>
                <c:pt idx="6">
                  <c:v>14217.699999999999</c:v>
                </c:pt>
                <c:pt idx="8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Comparison!$AS$3</c:f>
              <c:strCache>
                <c:ptCount val="1"/>
                <c:pt idx="0">
                  <c:v>FAOSTAT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5"/>
            <c:spPr>
              <a:solidFill>
                <a:schemeClr val="accent6">
                  <a:lumMod val="20000"/>
                  <a:lumOff val="8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Comparison!$AO$4:$AO$16</c:f>
              <c:strCache>
                <c:ptCount val="13"/>
                <c:pt idx="0">
                  <c:v>Canada</c:v>
                </c:pt>
                <c:pt idx="1">
                  <c:v>Finland</c:v>
                </c:pt>
                <c:pt idx="2">
                  <c:v>Germany</c:v>
                </c:pt>
                <c:pt idx="3">
                  <c:v>Portugal</c:v>
                </c:pt>
                <c:pt idx="4">
                  <c:v>Austria</c:v>
                </c:pt>
                <c:pt idx="5">
                  <c:v>Spain</c:v>
                </c:pt>
                <c:pt idx="6">
                  <c:v>Czechia</c:v>
                </c:pt>
                <c:pt idx="7">
                  <c:v>Belgium</c:v>
                </c:pt>
                <c:pt idx="8">
                  <c:v>Hungary</c:v>
                </c:pt>
                <c:pt idx="9">
                  <c:v>Italy</c:v>
                </c:pt>
                <c:pt idx="10">
                  <c:v>Russia</c:v>
                </c:pt>
                <c:pt idx="11">
                  <c:v>Belarus</c:v>
                </c:pt>
                <c:pt idx="12">
                  <c:v>Slovakia</c:v>
                </c:pt>
              </c:strCache>
            </c:strRef>
          </c:cat>
          <c:val>
            <c:numRef>
              <c:f>Comparison!$AS$4:$AS$16</c:f>
              <c:numCache>
                <c:formatCode>General</c:formatCode>
                <c:ptCount val="13"/>
                <c:pt idx="3" formatCode="#,##0">
                  <c:v>0</c:v>
                </c:pt>
                <c:pt idx="5" formatCode="#,##0">
                  <c:v>0</c:v>
                </c:pt>
                <c:pt idx="7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  <c:pt idx="12" formatCode="#,##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968096"/>
        <c:axId val="693507760"/>
      </c:lineChart>
      <c:catAx>
        <c:axId val="465968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507760"/>
        <c:crosses val="autoZero"/>
        <c:auto val="1"/>
        <c:lblAlgn val="ctr"/>
        <c:lblOffset val="100"/>
        <c:noMultiLvlLbl val="0"/>
      </c:catAx>
      <c:valAx>
        <c:axId val="693507760"/>
        <c:scaling>
          <c:orientation val="minMax"/>
          <c:max val="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968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3216235530498706"/>
          <c:y val="0.10799994353776601"/>
          <c:w val="0.13933853369539451"/>
          <c:h val="0.2374648916515991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1378858</xdr:colOff>
      <xdr:row>2</xdr:row>
      <xdr:rowOff>163286</xdr:rowOff>
    </xdr:from>
    <xdr:to>
      <xdr:col>14</xdr:col>
      <xdr:colOff>500991</xdr:colOff>
      <xdr:row>4</xdr:row>
      <xdr:rowOff>119942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5644" y="508000"/>
          <a:ext cx="7041490" cy="6279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1438" cy="60890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0.02213</cdr:x>
      <cdr:y>0.01538</cdr:y>
    </cdr:from>
    <cdr:to>
      <cdr:x>0.08696</cdr:x>
      <cdr:y>0.07792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205259" y="93705"/>
          <a:ext cx="601362" cy="381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600" b="1"/>
            <a:t>TJ</a:t>
          </a:r>
        </a:p>
      </cdr:txBody>
    </cdr:sp>
  </cdr:relSizeAnchor>
  <cdr:relSizeAnchor xmlns:cdr="http://schemas.openxmlformats.org/drawingml/2006/chartDrawing">
    <cdr:from>
      <cdr:x>0.22572</cdr:x>
      <cdr:y>0.25493</cdr:y>
    </cdr:from>
    <cdr:to>
      <cdr:x>0.25532</cdr:x>
      <cdr:y>0.31127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H="1">
          <a:off x="2093784" y="1553176"/>
          <a:ext cx="274594" cy="343243"/>
        </a:xfrm>
        <a:prstGeom xmlns:a="http://schemas.openxmlformats.org/drawingml/2006/main" prst="straightConnector1">
          <a:avLst/>
        </a:prstGeom>
        <a:ln xmlns:a="http://schemas.openxmlformats.org/drawingml/2006/main" w="25400">
          <a:solidFill>
            <a:srgbClr val="FF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0.24792</cdr:x>
      <cdr:y>0.22113</cdr:y>
    </cdr:from>
    <cdr:to>
      <cdr:x>0.40703</cdr:x>
      <cdr:y>0.27087</cdr:y>
    </cdr:to>
    <cdr:sp macro="" textlink="">
      <cdr:nvSpPr>
        <cdr:cNvPr id="6" name="TextBox 3"/>
        <cdr:cNvSpPr txBox="1"/>
      </cdr:nvSpPr>
      <cdr:spPr>
        <a:xfrm xmlns:a="http://schemas.openxmlformats.org/drawingml/2006/main">
          <a:off x="2299730" y="1347230"/>
          <a:ext cx="1475946" cy="303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0">
              <a:solidFill>
                <a:srgbClr val="FF0000"/>
              </a:solidFill>
            </a:rPr>
            <a:t>Includes</a:t>
          </a:r>
          <a:r>
            <a:rPr lang="en-GB" sz="1200" b="0" baseline="0">
              <a:solidFill>
                <a:srgbClr val="FF0000"/>
              </a:solidFill>
            </a:rPr>
            <a:t> black liquor</a:t>
          </a:r>
          <a:endParaRPr lang="en-GB" sz="1200" b="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0.54294</cdr:x>
      <cdr:y>0.6351</cdr:y>
    </cdr:from>
    <cdr:to>
      <cdr:x>0.57254</cdr:x>
      <cdr:y>0.69144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H="1">
          <a:off x="5036408" y="3869381"/>
          <a:ext cx="274594" cy="343243"/>
        </a:xfrm>
        <a:prstGeom xmlns:a="http://schemas.openxmlformats.org/drawingml/2006/main" prst="straightConnector1">
          <a:avLst/>
        </a:prstGeom>
        <a:ln xmlns:a="http://schemas.openxmlformats.org/drawingml/2006/main" w="25400">
          <a:solidFill>
            <a:srgbClr val="FF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0.56514</cdr:x>
      <cdr:y>0.60141</cdr:y>
    </cdr:from>
    <cdr:to>
      <cdr:x>0.6901</cdr:x>
      <cdr:y>0.65104</cdr:y>
    </cdr:to>
    <cdr:sp macro="" textlink="">
      <cdr:nvSpPr>
        <cdr:cNvPr id="8" name="TextBox 3"/>
        <cdr:cNvSpPr txBox="1"/>
      </cdr:nvSpPr>
      <cdr:spPr>
        <a:xfrm xmlns:a="http://schemas.openxmlformats.org/drawingml/2006/main">
          <a:off x="5242354" y="3664121"/>
          <a:ext cx="1159132" cy="3023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0">
              <a:solidFill>
                <a:srgbClr val="FF0000"/>
              </a:solidFill>
            </a:rPr>
            <a:t>New HH survey</a:t>
          </a:r>
        </a:p>
      </cdr:txBody>
    </cdr:sp>
  </cdr:relSizeAnchor>
  <cdr:relSizeAnchor xmlns:cdr="http://schemas.openxmlformats.org/drawingml/2006/chartDrawing">
    <cdr:from>
      <cdr:x>0.40379</cdr:x>
      <cdr:y>0.5406</cdr:y>
    </cdr:from>
    <cdr:to>
      <cdr:x>0.43339</cdr:x>
      <cdr:y>0.59694</cdr:y>
    </cdr:to>
    <cdr:cxnSp macro="">
      <cdr:nvCxnSpPr>
        <cdr:cNvPr id="10" name="Straight Arrow Connector 9"/>
        <cdr:cNvCxnSpPr/>
      </cdr:nvCxnSpPr>
      <cdr:spPr>
        <a:xfrm xmlns:a="http://schemas.openxmlformats.org/drawingml/2006/main" flipH="1">
          <a:off x="3747717" y="3291762"/>
          <a:ext cx="274731" cy="343057"/>
        </a:xfrm>
        <a:prstGeom xmlns:a="http://schemas.openxmlformats.org/drawingml/2006/main" prst="straightConnector1">
          <a:avLst/>
        </a:prstGeom>
        <a:ln xmlns:a="http://schemas.openxmlformats.org/drawingml/2006/main" w="25400">
          <a:solidFill>
            <a:srgbClr val="FF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0.43112</cdr:x>
      <cdr:y>0.50691</cdr:y>
    </cdr:from>
    <cdr:to>
      <cdr:x>0.58388</cdr:x>
      <cdr:y>0.58714</cdr:y>
    </cdr:to>
    <cdr:sp macro="" textlink="">
      <cdr:nvSpPr>
        <cdr:cNvPr id="11" name="TextBox 3"/>
        <cdr:cNvSpPr txBox="1"/>
      </cdr:nvSpPr>
      <cdr:spPr>
        <a:xfrm xmlns:a="http://schemas.openxmlformats.org/drawingml/2006/main">
          <a:off x="4001370" y="3086621"/>
          <a:ext cx="1417877" cy="4885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1200" b="0">
              <a:solidFill>
                <a:srgbClr val="FF0000"/>
              </a:solidFill>
            </a:rPr>
            <a:t>Note: correction after the workshop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0071" cy="60869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0.02213</cdr:x>
      <cdr:y>0.01538</cdr:y>
    </cdr:from>
    <cdr:to>
      <cdr:x>0.08696</cdr:x>
      <cdr:y>0.07792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205259" y="93705"/>
          <a:ext cx="601362" cy="381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600" b="1"/>
            <a:t>TJ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80071" cy="60869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0.01076</cdr:x>
      <cdr:y>0.01538</cdr:y>
    </cdr:from>
    <cdr:to>
      <cdr:x>0.10464</cdr:x>
      <cdr:y>0.07792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99786" y="93704"/>
          <a:ext cx="870857" cy="3810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600" b="1"/>
            <a:t>tonnes</a:t>
          </a:r>
        </a:p>
      </cdr:txBody>
    </cdr:sp>
  </cdr:relSizeAnchor>
  <cdr:relSizeAnchor xmlns:cdr="http://schemas.openxmlformats.org/drawingml/2006/chartDrawing">
    <cdr:from>
      <cdr:x>0.13456</cdr:x>
      <cdr:y>0.0813</cdr:y>
    </cdr:from>
    <cdr:to>
      <cdr:x>0.1682</cdr:x>
      <cdr:y>0.20696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248228" y="495299"/>
          <a:ext cx="312058" cy="765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270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0">
              <a:solidFill>
                <a:srgbClr val="FF0000"/>
              </a:solidFill>
            </a:rPr>
            <a:t>207,000</a:t>
          </a:r>
        </a:p>
      </cdr:txBody>
    </cdr:sp>
  </cdr:relSizeAnchor>
  <cdr:relSizeAnchor xmlns:cdr="http://schemas.openxmlformats.org/drawingml/2006/chartDrawing">
    <cdr:from>
      <cdr:x>0.09838</cdr:x>
      <cdr:y>0.08874</cdr:y>
    </cdr:from>
    <cdr:to>
      <cdr:x>0.13202</cdr:x>
      <cdr:y>0.21441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912586" y="540658"/>
          <a:ext cx="312058" cy="765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vert270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0">
              <a:solidFill>
                <a:srgbClr val="FF0000"/>
              </a:solidFill>
            </a:rPr>
            <a:t>1,300,000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80071" cy="60869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0.02213</cdr:x>
      <cdr:y>0.01538</cdr:y>
    </cdr:from>
    <cdr:to>
      <cdr:x>0.08696</cdr:x>
      <cdr:y>0.07792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205259" y="93705"/>
          <a:ext cx="601362" cy="381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600" b="1"/>
            <a:t>TJ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IRENA standard">
      <a:dk1>
        <a:sysClr val="windowText" lastClr="000000"/>
      </a:dk1>
      <a:lt1>
        <a:srgbClr val="FFFFFF"/>
      </a:lt1>
      <a:dk2>
        <a:srgbClr val="0073A7"/>
      </a:dk2>
      <a:lt2>
        <a:srgbClr val="58595B"/>
      </a:lt2>
      <a:accent1>
        <a:srgbClr val="0078AE"/>
      </a:accent1>
      <a:accent2>
        <a:srgbClr val="485CA9"/>
      </a:accent2>
      <a:accent3>
        <a:srgbClr val="AC9DA1"/>
      </a:accent3>
      <a:accent4>
        <a:srgbClr val="E4D032"/>
      </a:accent4>
      <a:accent5>
        <a:srgbClr val="76C26A"/>
      </a:accent5>
      <a:accent6>
        <a:srgbClr val="8C181A"/>
      </a:accent6>
      <a:hlink>
        <a:srgbClr val="0073A7"/>
      </a:hlink>
      <a:folHlink>
        <a:srgbClr val="0073A7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4"/>
  <sheetViews>
    <sheetView tabSelected="1" zoomScale="70" zoomScaleNormal="70" workbookViewId="0">
      <selection activeCell="C11" sqref="C11"/>
    </sheetView>
  </sheetViews>
  <sheetFormatPr defaultRowHeight="13" x14ac:dyDescent="0.3"/>
  <cols>
    <col min="1" max="1" width="3.26953125" style="2" customWidth="1"/>
    <col min="2" max="2" width="22.26953125" style="1" customWidth="1"/>
    <col min="3" max="3" width="7.81640625" style="12" customWidth="1"/>
    <col min="4" max="4" width="8.81640625" style="24" customWidth="1"/>
    <col min="5" max="5" width="6.81640625" style="24" customWidth="1"/>
    <col min="6" max="10" width="7.81640625" style="24" customWidth="1"/>
    <col min="11" max="11" width="2.453125" style="2" customWidth="1"/>
    <col min="12" max="16384" width="8.7265625" style="2"/>
  </cols>
  <sheetData>
    <row r="1" spans="2:24" ht="13.5" customHeight="1" x14ac:dyDescent="0.3">
      <c r="B1" s="200" t="s">
        <v>101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</row>
    <row r="2" spans="2:24" ht="13.5" customHeight="1" x14ac:dyDescent="0.3"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3" spans="2:24" ht="39.5" customHeight="1" x14ac:dyDescent="0.3"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</row>
    <row r="4" spans="2:24" ht="13.5" customHeight="1" x14ac:dyDescent="0.3"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</row>
    <row r="5" spans="2:24" ht="13.5" customHeight="1" x14ac:dyDescent="0.3"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V5" s="24"/>
      <c r="W5" s="24"/>
      <c r="X5" s="24"/>
    </row>
    <row r="6" spans="2:24" ht="13.5" customHeight="1" x14ac:dyDescent="0.3"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V6" s="24"/>
      <c r="W6" s="24"/>
      <c r="X6" s="24"/>
    </row>
    <row r="7" spans="2:24" ht="13.5" customHeight="1" x14ac:dyDescent="0.3"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W7" s="24"/>
      <c r="X7" s="24"/>
    </row>
    <row r="8" spans="2:24" ht="13.5" customHeight="1" x14ac:dyDescent="0.3"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</row>
    <row r="9" spans="2:24" ht="13.5" customHeight="1" x14ac:dyDescent="0.3"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</row>
    <row r="10" spans="2:24" ht="13.5" customHeight="1" x14ac:dyDescent="0.3"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</row>
    <row r="11" spans="2:24" ht="13.5" customHeight="1" x14ac:dyDescent="0.3"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</row>
    <row r="12" spans="2:24" ht="13.5" customHeight="1" x14ac:dyDescent="0.3"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</row>
    <row r="13" spans="2:24" ht="13.5" customHeight="1" x14ac:dyDescent="0.3"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</row>
    <row r="14" spans="2:24" ht="13.5" customHeight="1" x14ac:dyDescent="0.3"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</row>
    <row r="15" spans="2:24" ht="13.5" customHeight="1" x14ac:dyDescent="0.3"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</row>
    <row r="16" spans="2:24" ht="13.5" customHeight="1" x14ac:dyDescent="0.3"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</row>
    <row r="17" spans="2:18" ht="13.5" customHeight="1" x14ac:dyDescent="0.3"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</row>
    <row r="18" spans="2:18" ht="13.5" customHeight="1" x14ac:dyDescent="0.3"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</row>
    <row r="19" spans="2:18" ht="13.5" customHeight="1" x14ac:dyDescent="0.3"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</row>
    <row r="20" spans="2:18" ht="13.5" customHeight="1" x14ac:dyDescent="0.3"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</row>
    <row r="21" spans="2:18" ht="13.5" customHeight="1" x14ac:dyDescent="0.3"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</row>
    <row r="22" spans="2:18" ht="13.5" customHeight="1" x14ac:dyDescent="0.3"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</row>
    <row r="23" spans="2:18" ht="13.5" customHeight="1" x14ac:dyDescent="0.3"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</row>
    <row r="24" spans="2:18" ht="13.5" customHeight="1" x14ac:dyDescent="0.3"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</row>
    <row r="25" spans="2:18" ht="13.5" customHeight="1" x14ac:dyDescent="0.3"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</row>
    <row r="26" spans="2:18" ht="13.5" customHeight="1" x14ac:dyDescent="0.3"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</row>
    <row r="27" spans="2:18" ht="13.5" customHeight="1" x14ac:dyDescent="0.3"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</row>
    <row r="28" spans="2:18" ht="15" customHeight="1" x14ac:dyDescent="0.3">
      <c r="B28" s="201"/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</row>
    <row r="30" spans="2:18" x14ac:dyDescent="0.3">
      <c r="B30" s="11"/>
      <c r="C30" s="13"/>
    </row>
    <row r="33" spans="2:3" x14ac:dyDescent="0.3">
      <c r="B33" s="12"/>
    </row>
    <row r="34" spans="2:3" x14ac:dyDescent="0.3">
      <c r="B34" s="12"/>
    </row>
    <row r="35" spans="2:3" x14ac:dyDescent="0.3">
      <c r="B35" s="12"/>
    </row>
    <row r="36" spans="2:3" x14ac:dyDescent="0.3">
      <c r="B36" s="13"/>
      <c r="C36" s="13"/>
    </row>
    <row r="37" spans="2:3" x14ac:dyDescent="0.3">
      <c r="B37" s="12"/>
    </row>
    <row r="38" spans="2:3" x14ac:dyDescent="0.3">
      <c r="B38" s="6"/>
      <c r="C38" s="6"/>
    </row>
    <row r="39" spans="2:3" x14ac:dyDescent="0.3">
      <c r="B39" s="6"/>
      <c r="C39" s="6"/>
    </row>
    <row r="40" spans="2:3" x14ac:dyDescent="0.3">
      <c r="B40" s="6"/>
      <c r="C40" s="6"/>
    </row>
    <row r="41" spans="2:3" x14ac:dyDescent="0.3">
      <c r="B41" s="6"/>
      <c r="C41" s="6"/>
    </row>
    <row r="42" spans="2:3" x14ac:dyDescent="0.3">
      <c r="B42" s="6"/>
      <c r="C42" s="6"/>
    </row>
    <row r="43" spans="2:3" x14ac:dyDescent="0.3">
      <c r="B43" s="12"/>
    </row>
    <row r="44" spans="2:3" x14ac:dyDescent="0.3">
      <c r="B44" s="12"/>
    </row>
    <row r="45" spans="2:3" x14ac:dyDescent="0.3">
      <c r="B45" s="12"/>
    </row>
    <row r="46" spans="2:3" x14ac:dyDescent="0.3">
      <c r="B46" s="13"/>
      <c r="C46" s="13"/>
    </row>
    <row r="47" spans="2:3" x14ac:dyDescent="0.3">
      <c r="B47" s="14"/>
      <c r="C47" s="14"/>
    </row>
    <row r="48" spans="2:3" x14ac:dyDescent="0.3">
      <c r="B48" s="14"/>
      <c r="C48" s="14"/>
    </row>
    <row r="49" spans="2:3" x14ac:dyDescent="0.3">
      <c r="B49" s="14"/>
      <c r="C49" s="14"/>
    </row>
    <row r="50" spans="2:3" x14ac:dyDescent="0.3">
      <c r="B50" s="14"/>
      <c r="C50" s="14"/>
    </row>
    <row r="51" spans="2:3" x14ac:dyDescent="0.3">
      <c r="B51" s="14"/>
      <c r="C51" s="14"/>
    </row>
    <row r="52" spans="2:3" x14ac:dyDescent="0.3">
      <c r="B52" s="14"/>
      <c r="C52" s="14"/>
    </row>
    <row r="53" spans="2:3" x14ac:dyDescent="0.3">
      <c r="B53" s="14"/>
      <c r="C53" s="14"/>
    </row>
    <row r="54" spans="2:3" x14ac:dyDescent="0.3">
      <c r="B54" s="12"/>
    </row>
  </sheetData>
  <mergeCells count="1">
    <mergeCell ref="B1:R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4"/>
  <sheetViews>
    <sheetView tabSelected="1" zoomScale="70" zoomScaleNormal="70" workbookViewId="0">
      <selection activeCell="C11" sqref="C11"/>
    </sheetView>
  </sheetViews>
  <sheetFormatPr defaultRowHeight="13" x14ac:dyDescent="0.3"/>
  <cols>
    <col min="1" max="1" width="3.26953125" style="2" customWidth="1"/>
    <col min="2" max="2" width="22.26953125" style="1" customWidth="1"/>
    <col min="3" max="3" width="7.81640625" style="12" customWidth="1"/>
    <col min="4" max="5" width="8.81640625" style="24" customWidth="1"/>
    <col min="6" max="6" width="6.81640625" style="24" customWidth="1"/>
    <col min="7" max="9" width="7.81640625" style="24" customWidth="1"/>
    <col min="10" max="10" width="2.6328125" style="2" customWidth="1"/>
    <col min="11" max="16384" width="8.7265625" style="2"/>
  </cols>
  <sheetData>
    <row r="1" spans="2:23" ht="13.5" customHeight="1" thickBot="1" x14ac:dyDescent="0.35">
      <c r="B1" s="23" t="s">
        <v>67</v>
      </c>
    </row>
    <row r="2" spans="2:23" ht="13.5" customHeight="1" thickBot="1" x14ac:dyDescent="0.35">
      <c r="C2" s="208" t="s">
        <v>43</v>
      </c>
      <c r="D2" s="209"/>
      <c r="E2" s="209"/>
      <c r="F2" s="209"/>
      <c r="G2" s="209"/>
      <c r="H2" s="209"/>
      <c r="I2" s="210"/>
      <c r="J2" s="60"/>
      <c r="K2" s="211" t="s">
        <v>76</v>
      </c>
      <c r="L2" s="212"/>
      <c r="M2" s="212"/>
      <c r="N2" s="212"/>
      <c r="O2" s="212"/>
      <c r="P2" s="213"/>
    </row>
    <row r="3" spans="2:23" ht="39.5" customHeight="1" x14ac:dyDescent="0.3">
      <c r="B3" s="3" t="s">
        <v>0</v>
      </c>
      <c r="C3" s="25" t="s">
        <v>30</v>
      </c>
      <c r="D3" s="26" t="s">
        <v>23</v>
      </c>
      <c r="E3" s="26" t="s">
        <v>24</v>
      </c>
      <c r="F3" s="26" t="s">
        <v>25</v>
      </c>
      <c r="G3" s="26" t="s">
        <v>31</v>
      </c>
      <c r="H3" s="27" t="s">
        <v>33</v>
      </c>
      <c r="I3" s="28" t="s">
        <v>27</v>
      </c>
      <c r="K3" s="25" t="s">
        <v>41</v>
      </c>
      <c r="L3" s="26" t="s">
        <v>23</v>
      </c>
      <c r="M3" s="26" t="s">
        <v>24</v>
      </c>
      <c r="N3" s="28" t="s">
        <v>25</v>
      </c>
      <c r="O3" s="27" t="s">
        <v>33</v>
      </c>
      <c r="P3" s="28" t="s">
        <v>27</v>
      </c>
    </row>
    <row r="4" spans="2:23" ht="13.5" customHeight="1" thickBot="1" x14ac:dyDescent="0.35">
      <c r="B4" s="4">
        <v>2013</v>
      </c>
      <c r="C4" s="29" t="s">
        <v>29</v>
      </c>
      <c r="D4" s="30" t="s">
        <v>29</v>
      </c>
      <c r="E4" s="30" t="s">
        <v>29</v>
      </c>
      <c r="F4" s="30" t="s">
        <v>29</v>
      </c>
      <c r="G4" s="30" t="s">
        <v>29</v>
      </c>
      <c r="H4" s="31" t="s">
        <v>29</v>
      </c>
      <c r="I4" s="32" t="s">
        <v>28</v>
      </c>
      <c r="K4" s="29" t="s">
        <v>29</v>
      </c>
      <c r="L4" s="30" t="s">
        <v>29</v>
      </c>
      <c r="M4" s="30" t="s">
        <v>29</v>
      </c>
      <c r="N4" s="32" t="s">
        <v>29</v>
      </c>
      <c r="O4" s="72" t="s">
        <v>29</v>
      </c>
      <c r="P4" s="73" t="s">
        <v>28</v>
      </c>
      <c r="U4" s="2" t="s">
        <v>80</v>
      </c>
      <c r="V4" s="2" t="s">
        <v>81</v>
      </c>
      <c r="W4" s="2" t="s">
        <v>82</v>
      </c>
    </row>
    <row r="5" spans="2:23" ht="13.5" customHeight="1" x14ac:dyDescent="0.3">
      <c r="B5" s="5" t="s">
        <v>1</v>
      </c>
      <c r="C5" s="45">
        <f>SUM(D5:H5)</f>
        <v>112083.50336</v>
      </c>
      <c r="D5" s="35">
        <v>88966.503360000002</v>
      </c>
      <c r="E5" s="35">
        <f>23117-H5</f>
        <v>23021</v>
      </c>
      <c r="F5" s="35"/>
      <c r="G5" s="35"/>
      <c r="H5" s="36">
        <v>96</v>
      </c>
      <c r="I5" s="37">
        <v>3622</v>
      </c>
      <c r="K5" s="49">
        <f>SUM(L5:O5)</f>
        <v>89096.22</v>
      </c>
      <c r="L5" s="36">
        <f>V7*L$27/1000000*0.75</f>
        <v>86558.22</v>
      </c>
      <c r="M5" s="74"/>
      <c r="N5" s="74"/>
      <c r="O5" s="36">
        <f>W7*O$27/1000000</f>
        <v>2538</v>
      </c>
      <c r="P5" s="37">
        <f>U7</f>
        <v>5360</v>
      </c>
      <c r="T5" s="2" t="s">
        <v>79</v>
      </c>
      <c r="U5" s="24">
        <v>2000</v>
      </c>
      <c r="V5" s="24">
        <v>40649</v>
      </c>
      <c r="W5" s="24">
        <v>125900</v>
      </c>
    </row>
    <row r="6" spans="2:23" ht="13.5" customHeight="1" x14ac:dyDescent="0.3">
      <c r="B6" s="7" t="s">
        <v>2</v>
      </c>
      <c r="C6" s="17"/>
      <c r="D6" s="41"/>
      <c r="E6" s="41"/>
      <c r="F6" s="41"/>
      <c r="G6" s="41"/>
      <c r="H6" s="33"/>
      <c r="I6" s="34"/>
      <c r="K6" s="49">
        <f>SUM(L6:O6)</f>
        <v>11.081160000000001</v>
      </c>
      <c r="L6" s="33">
        <f>V6*L$27/1000000*0.75</f>
        <v>0.79380000000000006</v>
      </c>
      <c r="M6" s="41"/>
      <c r="N6" s="41"/>
      <c r="O6" s="33">
        <f>W6*O$27/1000000</f>
        <v>10.28736</v>
      </c>
      <c r="P6" s="34">
        <f>U6</f>
        <v>1700</v>
      </c>
      <c r="T6" s="2" t="s">
        <v>78</v>
      </c>
      <c r="U6" s="24">
        <v>1700</v>
      </c>
      <c r="V6" s="24">
        <v>70</v>
      </c>
      <c r="W6" s="24">
        <v>608</v>
      </c>
    </row>
    <row r="7" spans="2:23" ht="13.5" customHeight="1" x14ac:dyDescent="0.3">
      <c r="B7" s="7" t="s">
        <v>3</v>
      </c>
      <c r="C7" s="17"/>
      <c r="D7" s="41"/>
      <c r="E7" s="41"/>
      <c r="F7" s="41"/>
      <c r="G7" s="41"/>
      <c r="H7" s="33"/>
      <c r="I7" s="34"/>
      <c r="K7" s="49">
        <f>SUM(L7:O7)</f>
        <v>2591.1876600000001</v>
      </c>
      <c r="L7" s="33">
        <f>V5*L$27/1000000*0.75</f>
        <v>460.95965999999999</v>
      </c>
      <c r="M7" s="41"/>
      <c r="N7" s="41"/>
      <c r="O7" s="33">
        <f>W5*O$27/1000000</f>
        <v>2130.2280000000001</v>
      </c>
      <c r="P7" s="34">
        <f>U5</f>
        <v>2000</v>
      </c>
      <c r="T7" s="2" t="s">
        <v>77</v>
      </c>
      <c r="U7" s="2">
        <v>5360</v>
      </c>
      <c r="V7" s="24">
        <v>7633000</v>
      </c>
      <c r="W7" s="24">
        <v>150000</v>
      </c>
    </row>
    <row r="8" spans="2:23" ht="13.5" customHeight="1" x14ac:dyDescent="0.3">
      <c r="B8" s="7" t="s">
        <v>4</v>
      </c>
      <c r="C8" s="17"/>
      <c r="D8" s="41"/>
      <c r="E8" s="41"/>
      <c r="F8" s="41"/>
      <c r="G8" s="41"/>
      <c r="H8" s="33"/>
      <c r="I8" s="34"/>
      <c r="K8" s="49"/>
      <c r="L8" s="21"/>
      <c r="M8" s="21"/>
      <c r="N8" s="21"/>
      <c r="O8" s="15"/>
      <c r="P8" s="16"/>
    </row>
    <row r="9" spans="2:23" ht="13.5" customHeight="1" x14ac:dyDescent="0.3">
      <c r="B9" s="7" t="s">
        <v>5</v>
      </c>
      <c r="C9" s="17"/>
      <c r="D9" s="41"/>
      <c r="E9" s="41"/>
      <c r="F9" s="41"/>
      <c r="G9" s="41"/>
      <c r="H9" s="33"/>
      <c r="I9" s="34"/>
      <c r="K9" s="49"/>
      <c r="L9" s="21"/>
      <c r="M9" s="21"/>
      <c r="N9" s="21"/>
      <c r="O9" s="15"/>
      <c r="P9" s="16"/>
    </row>
    <row r="10" spans="2:23" ht="13.5" customHeight="1" thickBot="1" x14ac:dyDescent="0.35">
      <c r="B10" s="46" t="s">
        <v>6</v>
      </c>
      <c r="C10" s="47">
        <f>SUM(D10:H10)</f>
        <v>112083.50336</v>
      </c>
      <c r="D10" s="61">
        <f>D5+D6-D7+D8</f>
        <v>88966.503360000002</v>
      </c>
      <c r="E10" s="61">
        <v>23021</v>
      </c>
      <c r="F10" s="61"/>
      <c r="G10" s="61"/>
      <c r="H10" s="66">
        <f>H5</f>
        <v>96</v>
      </c>
      <c r="I10" s="62">
        <v>3622</v>
      </c>
      <c r="K10" s="51">
        <f>SUM(L10:O10)</f>
        <v>86516.113500000007</v>
      </c>
      <c r="L10" s="66">
        <f>L5+L6-L7</f>
        <v>86098.054140000007</v>
      </c>
      <c r="M10" s="53"/>
      <c r="N10" s="53"/>
      <c r="O10" s="66">
        <f>O5+O6-O7</f>
        <v>418.05935999999974</v>
      </c>
      <c r="P10" s="62">
        <f>P5+P6-P7</f>
        <v>5060</v>
      </c>
    </row>
    <row r="11" spans="2:23" ht="13.5" customHeight="1" thickBot="1" x14ac:dyDescent="0.35">
      <c r="B11" s="8" t="s">
        <v>7</v>
      </c>
      <c r="C11" s="19"/>
      <c r="D11" s="38"/>
      <c r="E11" s="38"/>
      <c r="F11" s="38"/>
      <c r="G11" s="38"/>
      <c r="H11" s="39"/>
      <c r="I11" s="40"/>
      <c r="K11" s="55">
        <f>SUM(L11:O11)</f>
        <v>0</v>
      </c>
      <c r="L11" s="67"/>
      <c r="M11" s="67"/>
      <c r="N11" s="68"/>
      <c r="O11" s="39"/>
      <c r="P11" s="40"/>
    </row>
    <row r="12" spans="2:23" ht="13.5" customHeight="1" x14ac:dyDescent="0.3">
      <c r="B12" s="7" t="s">
        <v>8</v>
      </c>
      <c r="C12" s="17"/>
      <c r="D12" s="24" t="s">
        <v>35</v>
      </c>
      <c r="E12" s="24" t="s">
        <v>35</v>
      </c>
      <c r="H12" s="33" t="s">
        <v>35</v>
      </c>
      <c r="I12" s="34" t="s">
        <v>35</v>
      </c>
      <c r="K12" s="49"/>
      <c r="L12" s="41"/>
      <c r="M12" s="41"/>
      <c r="N12" s="34"/>
      <c r="O12" s="33"/>
      <c r="P12" s="34"/>
    </row>
    <row r="13" spans="2:23" ht="13.5" customHeight="1" x14ac:dyDescent="0.3">
      <c r="B13" s="7" t="s">
        <v>9</v>
      </c>
      <c r="C13" s="17">
        <f>SUM(D13:H13)</f>
        <v>3354</v>
      </c>
      <c r="D13" s="24">
        <v>145</v>
      </c>
      <c r="E13" s="24">
        <v>3209</v>
      </c>
      <c r="H13" s="33"/>
      <c r="I13" s="34"/>
      <c r="K13" s="18"/>
      <c r="L13" s="21"/>
      <c r="M13" s="21"/>
      <c r="N13" s="16"/>
      <c r="O13" s="15"/>
      <c r="P13" s="16"/>
      <c r="U13" s="24"/>
      <c r="V13" s="24"/>
      <c r="W13" s="24"/>
    </row>
    <row r="14" spans="2:23" ht="13.5" customHeight="1" x14ac:dyDescent="0.3">
      <c r="B14" s="7" t="s">
        <v>10</v>
      </c>
      <c r="C14" s="17">
        <f t="shared" ref="C14:C15" si="0">SUM(D14:H14)</f>
        <v>24347</v>
      </c>
      <c r="D14" s="24">
        <v>12554</v>
      </c>
      <c r="E14" s="24">
        <v>11793</v>
      </c>
      <c r="H14" s="33"/>
      <c r="I14" s="34"/>
      <c r="K14" s="18"/>
      <c r="L14" s="21"/>
      <c r="M14" s="21"/>
      <c r="N14" s="16"/>
      <c r="O14" s="15"/>
      <c r="P14" s="16"/>
      <c r="U14" s="24"/>
      <c r="V14" s="24"/>
      <c r="W14" s="24"/>
    </row>
    <row r="15" spans="2:23" ht="13.5" customHeight="1" x14ac:dyDescent="0.3">
      <c r="B15" s="7" t="s">
        <v>11</v>
      </c>
      <c r="C15" s="17">
        <f t="shared" si="0"/>
        <v>282</v>
      </c>
      <c r="D15" s="24">
        <v>282</v>
      </c>
      <c r="H15" s="33"/>
      <c r="I15" s="34"/>
      <c r="K15" s="18"/>
      <c r="L15" s="21"/>
      <c r="M15" s="21"/>
      <c r="N15" s="16"/>
      <c r="O15" s="15"/>
      <c r="P15" s="16"/>
      <c r="U15" s="24"/>
      <c r="V15" s="24"/>
      <c r="W15" s="24"/>
    </row>
    <row r="16" spans="2:23" ht="13.5" customHeight="1" x14ac:dyDescent="0.3">
      <c r="B16" s="7" t="s">
        <v>34</v>
      </c>
      <c r="C16" s="17"/>
      <c r="H16" s="33"/>
      <c r="I16" s="34"/>
      <c r="K16" s="18"/>
      <c r="L16" s="21"/>
      <c r="M16" s="21"/>
      <c r="N16" s="16"/>
      <c r="O16" s="15"/>
      <c r="P16" s="16"/>
      <c r="U16" s="24"/>
      <c r="V16" s="24"/>
      <c r="W16" s="24"/>
    </row>
    <row r="17" spans="2:23" ht="13.5" customHeight="1" x14ac:dyDescent="0.3">
      <c r="B17" s="7" t="s">
        <v>12</v>
      </c>
      <c r="C17" s="17"/>
      <c r="H17" s="33"/>
      <c r="I17" s="34"/>
      <c r="K17" s="18"/>
      <c r="L17" s="21"/>
      <c r="M17" s="21"/>
      <c r="N17" s="16"/>
      <c r="O17" s="15"/>
      <c r="P17" s="16"/>
      <c r="V17" s="24"/>
      <c r="W17" s="24"/>
    </row>
    <row r="18" spans="2:23" ht="13.5" customHeight="1" x14ac:dyDescent="0.3">
      <c r="B18" s="7" t="s">
        <v>13</v>
      </c>
      <c r="C18" s="17"/>
      <c r="H18" s="33"/>
      <c r="I18" s="34"/>
      <c r="K18" s="18"/>
      <c r="L18" s="21"/>
      <c r="M18" s="21"/>
      <c r="N18" s="16"/>
      <c r="O18" s="15"/>
      <c r="P18" s="16"/>
      <c r="U18" s="24"/>
      <c r="V18" s="24"/>
      <c r="W18" s="24"/>
    </row>
    <row r="19" spans="2:23" ht="13.5" customHeight="1" thickBot="1" x14ac:dyDescent="0.35">
      <c r="B19" s="7" t="s">
        <v>14</v>
      </c>
      <c r="C19" s="17"/>
      <c r="H19" s="33"/>
      <c r="I19" s="34"/>
      <c r="K19" s="18"/>
      <c r="L19" s="21"/>
      <c r="M19" s="21"/>
      <c r="N19" s="16"/>
      <c r="O19" s="15"/>
      <c r="P19" s="16"/>
      <c r="V19" s="24"/>
    </row>
    <row r="20" spans="2:23" ht="13.5" customHeight="1" x14ac:dyDescent="0.3">
      <c r="B20" s="9" t="s">
        <v>15</v>
      </c>
      <c r="C20" s="20">
        <f>SUM(D20:H20)</f>
        <v>35034.004079999999</v>
      </c>
      <c r="D20" s="58">
        <f>SUM(D21:D26)</f>
        <v>26919</v>
      </c>
      <c r="E20" s="58">
        <v>8019</v>
      </c>
      <c r="F20" s="58"/>
      <c r="G20" s="58"/>
      <c r="H20" s="57">
        <f>H25</f>
        <v>96.004080000000002</v>
      </c>
      <c r="I20" s="59">
        <v>3622</v>
      </c>
      <c r="K20" s="56"/>
      <c r="L20" s="58"/>
      <c r="M20" s="58"/>
      <c r="N20" s="58"/>
      <c r="O20" s="57"/>
      <c r="P20" s="59"/>
    </row>
    <row r="21" spans="2:23" ht="13.5" customHeight="1" x14ac:dyDescent="0.3">
      <c r="B21" s="7" t="s">
        <v>16</v>
      </c>
      <c r="C21" s="17"/>
      <c r="D21" s="41" t="s">
        <v>35</v>
      </c>
      <c r="E21" s="41" t="s">
        <v>35</v>
      </c>
      <c r="F21" s="41"/>
      <c r="G21" s="41"/>
      <c r="H21" s="33" t="s">
        <v>35</v>
      </c>
      <c r="I21" s="34"/>
      <c r="K21" s="49"/>
      <c r="L21" s="41"/>
      <c r="M21" s="41"/>
      <c r="N21" s="41"/>
      <c r="O21" s="33"/>
      <c r="P21" s="34"/>
    </row>
    <row r="22" spans="2:23" ht="13.5" customHeight="1" x14ac:dyDescent="0.3">
      <c r="B22" s="7" t="s">
        <v>17</v>
      </c>
      <c r="C22" s="17"/>
      <c r="D22" s="41"/>
      <c r="E22" s="41"/>
      <c r="F22" s="41"/>
      <c r="G22" s="41"/>
      <c r="H22" s="33"/>
      <c r="I22" s="34"/>
      <c r="K22" s="18"/>
      <c r="L22" s="21"/>
      <c r="M22" s="21"/>
      <c r="N22" s="21"/>
      <c r="O22" s="15"/>
      <c r="P22" s="16"/>
    </row>
    <row r="23" spans="2:23" ht="13.5" customHeight="1" x14ac:dyDescent="0.3">
      <c r="B23" s="7" t="s">
        <v>18</v>
      </c>
      <c r="C23" s="17"/>
      <c r="D23" s="41"/>
      <c r="E23" s="41"/>
      <c r="F23" s="41"/>
      <c r="G23" s="41"/>
      <c r="H23" s="33"/>
      <c r="I23" s="34"/>
      <c r="K23" s="18"/>
      <c r="L23" s="21"/>
      <c r="M23" s="21"/>
      <c r="N23" s="21"/>
      <c r="O23" s="15"/>
      <c r="P23" s="16"/>
    </row>
    <row r="24" spans="2:23" ht="13.5" customHeight="1" x14ac:dyDescent="0.3">
      <c r="B24" s="7" t="s">
        <v>19</v>
      </c>
      <c r="C24" s="17"/>
      <c r="D24" s="41"/>
      <c r="E24" s="41"/>
      <c r="F24" s="41"/>
      <c r="G24" s="41"/>
      <c r="H24" s="33"/>
      <c r="I24" s="34"/>
      <c r="K24" s="49"/>
      <c r="L24" s="41"/>
      <c r="M24" s="41"/>
      <c r="N24" s="41"/>
      <c r="O24" s="33"/>
      <c r="P24" s="34"/>
    </row>
    <row r="25" spans="2:23" ht="13.5" customHeight="1" x14ac:dyDescent="0.3">
      <c r="B25" s="7" t="s">
        <v>20</v>
      </c>
      <c r="C25" s="17">
        <f t="shared" ref="C25:C26" si="1">SUM(D25:H25)</f>
        <v>19114.004079999999</v>
      </c>
      <c r="D25" s="41">
        <v>17627</v>
      </c>
      <c r="E25" s="41">
        <v>1391</v>
      </c>
      <c r="F25" s="41"/>
      <c r="G25" s="41"/>
      <c r="H25" s="33">
        <v>96.004080000000002</v>
      </c>
      <c r="I25" s="34">
        <v>3622</v>
      </c>
      <c r="K25" s="49"/>
      <c r="L25" s="41"/>
      <c r="M25" s="41"/>
      <c r="N25" s="41"/>
      <c r="O25" s="33"/>
      <c r="P25" s="34"/>
    </row>
    <row r="26" spans="2:23" ht="13.5" customHeight="1" thickBot="1" x14ac:dyDescent="0.35">
      <c r="B26" s="8" t="s">
        <v>21</v>
      </c>
      <c r="C26" s="17">
        <f t="shared" si="1"/>
        <v>15920</v>
      </c>
      <c r="D26" s="38">
        <v>9292</v>
      </c>
      <c r="E26" s="38">
        <v>6628</v>
      </c>
      <c r="F26" s="38"/>
      <c r="G26" s="38"/>
      <c r="H26" s="39"/>
      <c r="I26" s="40"/>
      <c r="K26" s="50"/>
      <c r="L26" s="38"/>
      <c r="M26" s="38"/>
      <c r="N26" s="38"/>
      <c r="O26" s="39"/>
      <c r="P26" s="40"/>
    </row>
    <row r="27" spans="2:23" ht="13.5" customHeight="1" thickBot="1" x14ac:dyDescent="0.35">
      <c r="B27" s="10" t="s">
        <v>22</v>
      </c>
      <c r="C27" s="22"/>
      <c r="D27" s="42">
        <v>10258</v>
      </c>
      <c r="E27" s="42">
        <v>10258</v>
      </c>
      <c r="F27" s="42"/>
      <c r="G27" s="42"/>
      <c r="H27" s="43">
        <v>16920</v>
      </c>
      <c r="I27" s="44">
        <v>30800</v>
      </c>
      <c r="L27" s="43">
        <v>15120</v>
      </c>
      <c r="M27" s="42"/>
      <c r="N27" s="42"/>
      <c r="O27" s="43">
        <v>16920</v>
      </c>
      <c r="P27" s="44"/>
    </row>
    <row r="28" spans="2:23" ht="15" customHeight="1" x14ac:dyDescent="0.3"/>
    <row r="29" spans="2:23" x14ac:dyDescent="0.3">
      <c r="G29" s="2"/>
      <c r="H29" s="2"/>
    </row>
    <row r="30" spans="2:23" x14ac:dyDescent="0.3">
      <c r="B30" s="11"/>
      <c r="C30" s="13"/>
      <c r="G30" s="2"/>
      <c r="H30" s="2"/>
    </row>
    <row r="31" spans="2:23" x14ac:dyDescent="0.3">
      <c r="D31" s="12"/>
      <c r="E31" s="12"/>
      <c r="G31" s="2"/>
      <c r="H31" s="2"/>
    </row>
    <row r="32" spans="2:23" x14ac:dyDescent="0.3">
      <c r="G32" s="2"/>
      <c r="H32" s="2"/>
    </row>
    <row r="33" spans="2:8" x14ac:dyDescent="0.3">
      <c r="B33" s="12"/>
      <c r="G33" s="2"/>
      <c r="H33" s="2"/>
    </row>
    <row r="34" spans="2:8" x14ac:dyDescent="0.3">
      <c r="B34" s="12"/>
      <c r="G34" s="2"/>
      <c r="H34" s="2"/>
    </row>
    <row r="35" spans="2:8" x14ac:dyDescent="0.3">
      <c r="B35" s="12"/>
      <c r="G35" s="2"/>
      <c r="H35" s="2"/>
    </row>
    <row r="36" spans="2:8" x14ac:dyDescent="0.3">
      <c r="B36" s="13"/>
      <c r="C36" s="13"/>
      <c r="G36" s="2"/>
      <c r="H36" s="2"/>
    </row>
    <row r="37" spans="2:8" x14ac:dyDescent="0.3">
      <c r="B37" s="12"/>
      <c r="G37" s="2"/>
      <c r="H37" s="2"/>
    </row>
    <row r="38" spans="2:8" x14ac:dyDescent="0.3">
      <c r="B38" s="6"/>
      <c r="C38" s="6"/>
      <c r="G38" s="2"/>
      <c r="H38" s="2"/>
    </row>
    <row r="39" spans="2:8" x14ac:dyDescent="0.3">
      <c r="B39" s="6"/>
      <c r="C39" s="6"/>
      <c r="G39" s="2"/>
      <c r="H39" s="2"/>
    </row>
    <row r="40" spans="2:8" x14ac:dyDescent="0.3">
      <c r="B40" s="6"/>
      <c r="C40" s="6"/>
      <c r="G40" s="2"/>
      <c r="H40" s="2"/>
    </row>
    <row r="41" spans="2:8" x14ac:dyDescent="0.3">
      <c r="B41" s="6"/>
      <c r="C41" s="6"/>
      <c r="G41" s="2"/>
      <c r="H41" s="2"/>
    </row>
    <row r="42" spans="2:8" x14ac:dyDescent="0.3">
      <c r="B42" s="6"/>
      <c r="C42" s="6"/>
      <c r="G42" s="2"/>
      <c r="H42" s="2"/>
    </row>
    <row r="43" spans="2:8" x14ac:dyDescent="0.3">
      <c r="B43" s="12"/>
      <c r="G43" s="2"/>
      <c r="H43" s="2"/>
    </row>
    <row r="44" spans="2:8" x14ac:dyDescent="0.3">
      <c r="B44" s="12"/>
      <c r="G44" s="2"/>
      <c r="H44" s="2"/>
    </row>
    <row r="45" spans="2:8" x14ac:dyDescent="0.3">
      <c r="B45" s="12"/>
      <c r="G45" s="2"/>
      <c r="H45" s="2"/>
    </row>
    <row r="46" spans="2:8" x14ac:dyDescent="0.3">
      <c r="B46" s="13"/>
      <c r="C46" s="13"/>
      <c r="G46" s="2"/>
      <c r="H46" s="2"/>
    </row>
    <row r="47" spans="2:8" x14ac:dyDescent="0.3">
      <c r="B47" s="14"/>
      <c r="C47" s="14"/>
      <c r="G47" s="2"/>
      <c r="H47" s="2"/>
    </row>
    <row r="48" spans="2:8" x14ac:dyDescent="0.3">
      <c r="B48" s="14"/>
      <c r="C48" s="14"/>
      <c r="G48" s="2"/>
      <c r="H48" s="2"/>
    </row>
    <row r="49" spans="2:8" x14ac:dyDescent="0.3">
      <c r="B49" s="14"/>
      <c r="C49" s="14"/>
      <c r="G49" s="2"/>
      <c r="H49" s="2"/>
    </row>
    <row r="50" spans="2:8" x14ac:dyDescent="0.3">
      <c r="B50" s="14"/>
      <c r="C50" s="14"/>
      <c r="G50" s="2"/>
      <c r="H50" s="2"/>
    </row>
    <row r="51" spans="2:8" x14ac:dyDescent="0.3">
      <c r="B51" s="14"/>
      <c r="C51" s="14"/>
      <c r="G51" s="2"/>
      <c r="H51" s="2"/>
    </row>
    <row r="52" spans="2:8" x14ac:dyDescent="0.3">
      <c r="B52" s="14"/>
      <c r="C52" s="14"/>
      <c r="G52" s="2"/>
      <c r="H52" s="2"/>
    </row>
    <row r="53" spans="2:8" x14ac:dyDescent="0.3">
      <c r="B53" s="14"/>
      <c r="C53" s="14"/>
      <c r="G53" s="2"/>
      <c r="H53" s="2"/>
    </row>
    <row r="54" spans="2:8" x14ac:dyDescent="0.3">
      <c r="B54" s="12"/>
    </row>
  </sheetData>
  <mergeCells count="2">
    <mergeCell ref="C2:I2"/>
    <mergeCell ref="K2:P2"/>
  </mergeCells>
  <printOptions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4"/>
  <sheetViews>
    <sheetView tabSelected="1" zoomScale="70" zoomScaleNormal="70" workbookViewId="0">
      <selection activeCell="C11" sqref="C11"/>
    </sheetView>
  </sheetViews>
  <sheetFormatPr defaultRowHeight="13" x14ac:dyDescent="0.3"/>
  <cols>
    <col min="1" max="1" width="3.26953125" style="2" customWidth="1"/>
    <col min="2" max="2" width="22.26953125" style="1" customWidth="1"/>
    <col min="3" max="3" width="7.81640625" style="12" customWidth="1"/>
    <col min="4" max="4" width="8.81640625" style="24" customWidth="1"/>
    <col min="5" max="5" width="6.81640625" style="24" customWidth="1"/>
    <col min="6" max="9" width="7.81640625" style="24" customWidth="1"/>
    <col min="10" max="10" width="2.453125" style="2" customWidth="1"/>
    <col min="11" max="16384" width="8.7265625" style="2"/>
  </cols>
  <sheetData>
    <row r="1" spans="2:16" ht="13.5" customHeight="1" thickBot="1" x14ac:dyDescent="0.35">
      <c r="B1" s="23" t="s">
        <v>57</v>
      </c>
    </row>
    <row r="2" spans="2:16" ht="13.5" customHeight="1" thickBot="1" x14ac:dyDescent="0.35">
      <c r="C2" s="208" t="s">
        <v>45</v>
      </c>
      <c r="D2" s="209"/>
      <c r="E2" s="209"/>
      <c r="F2" s="209"/>
      <c r="G2" s="209"/>
      <c r="H2" s="209"/>
      <c r="I2" s="210"/>
      <c r="K2" s="211" t="s">
        <v>40</v>
      </c>
      <c r="L2" s="212"/>
      <c r="M2" s="212"/>
      <c r="N2" s="212"/>
      <c r="O2" s="212"/>
      <c r="P2" s="213"/>
    </row>
    <row r="3" spans="2:16" ht="39.5" customHeight="1" x14ac:dyDescent="0.3">
      <c r="B3" s="3" t="s">
        <v>0</v>
      </c>
      <c r="C3" s="25" t="s">
        <v>30</v>
      </c>
      <c r="D3" s="26" t="s">
        <v>23</v>
      </c>
      <c r="E3" s="26" t="s">
        <v>24</v>
      </c>
      <c r="F3" s="26" t="s">
        <v>25</v>
      </c>
      <c r="G3" s="26" t="s">
        <v>31</v>
      </c>
      <c r="H3" s="27" t="s">
        <v>33</v>
      </c>
      <c r="I3" s="28" t="s">
        <v>27</v>
      </c>
      <c r="K3" s="25" t="s">
        <v>41</v>
      </c>
      <c r="L3" s="26" t="s">
        <v>23</v>
      </c>
      <c r="M3" s="26" t="s">
        <v>24</v>
      </c>
      <c r="N3" s="28" t="s">
        <v>25</v>
      </c>
      <c r="O3" s="27" t="s">
        <v>33</v>
      </c>
      <c r="P3" s="28" t="s">
        <v>27</v>
      </c>
    </row>
    <row r="4" spans="2:16" ht="13.5" customHeight="1" thickBot="1" x14ac:dyDescent="0.35">
      <c r="B4" s="4">
        <v>2013</v>
      </c>
      <c r="C4" s="65" t="s">
        <v>29</v>
      </c>
      <c r="D4" s="30" t="s">
        <v>29</v>
      </c>
      <c r="E4" s="30" t="s">
        <v>29</v>
      </c>
      <c r="F4" s="30" t="s">
        <v>29</v>
      </c>
      <c r="G4" s="30" t="s">
        <v>29</v>
      </c>
      <c r="H4" s="31" t="s">
        <v>29</v>
      </c>
      <c r="I4" s="32" t="s">
        <v>28</v>
      </c>
      <c r="K4" s="29" t="s">
        <v>29</v>
      </c>
      <c r="L4" s="30" t="s">
        <v>29</v>
      </c>
      <c r="M4" s="30" t="s">
        <v>29</v>
      </c>
      <c r="N4" s="32" t="s">
        <v>29</v>
      </c>
      <c r="O4" s="31" t="s">
        <v>29</v>
      </c>
      <c r="P4" s="32" t="s">
        <v>28</v>
      </c>
    </row>
    <row r="5" spans="2:16" ht="13.5" customHeight="1" x14ac:dyDescent="0.3">
      <c r="B5" s="5" t="s">
        <v>1</v>
      </c>
      <c r="C5" s="45">
        <f>SUM(D5:H5)</f>
        <v>97455.388960000011</v>
      </c>
      <c r="D5" s="35">
        <v>88966.503360000002</v>
      </c>
      <c r="E5" s="35">
        <f>8488.8856-H5</f>
        <v>4856.7960000000003</v>
      </c>
      <c r="F5" s="35"/>
      <c r="G5" s="35"/>
      <c r="H5" s="36">
        <v>3632.0895999999998</v>
      </c>
      <c r="I5" s="37">
        <v>6000</v>
      </c>
      <c r="K5" s="49">
        <f>SUM(L5:O5)</f>
        <v>27231.525127528716</v>
      </c>
      <c r="L5" s="74">
        <v>20681.789527177527</v>
      </c>
      <c r="M5" s="74">
        <v>3401.1356003511887</v>
      </c>
      <c r="N5" s="75"/>
      <c r="O5" s="33">
        <v>3148.6</v>
      </c>
      <c r="P5" s="34">
        <v>6000</v>
      </c>
    </row>
    <row r="6" spans="2:16" ht="13.5" customHeight="1" x14ac:dyDescent="0.3">
      <c r="B6" s="7" t="s">
        <v>2</v>
      </c>
      <c r="C6" s="17">
        <f>SUM(D6:H6)</f>
        <v>257.99720000000002</v>
      </c>
      <c r="D6" s="41">
        <v>142.20000000000002</v>
      </c>
      <c r="E6" s="41">
        <v>38.466000000000001</v>
      </c>
      <c r="F6" s="41"/>
      <c r="G6" s="41"/>
      <c r="H6" s="33">
        <v>77.331199999999995</v>
      </c>
      <c r="I6" s="34">
        <v>3000</v>
      </c>
      <c r="K6" s="49">
        <f>SUM(L6:O6)</f>
        <v>100.18070986385732</v>
      </c>
      <c r="L6" s="41">
        <v>65.580709863857308</v>
      </c>
      <c r="M6" s="41"/>
      <c r="N6" s="34"/>
      <c r="O6" s="33">
        <v>34.6</v>
      </c>
      <c r="P6" s="34">
        <v>3000</v>
      </c>
    </row>
    <row r="7" spans="2:16" ht="13.5" customHeight="1" x14ac:dyDescent="0.3">
      <c r="B7" s="7" t="s">
        <v>3</v>
      </c>
      <c r="C7" s="17">
        <f>SUM(D7:H7)</f>
        <v>10091.0064</v>
      </c>
      <c r="D7" s="41">
        <v>4616.1000000000004</v>
      </c>
      <c r="E7" s="41">
        <v>2379.4740000000002</v>
      </c>
      <c r="F7" s="41"/>
      <c r="G7" s="41"/>
      <c r="H7" s="33">
        <v>3095.4324000000001</v>
      </c>
      <c r="I7" s="34">
        <v>4000</v>
      </c>
      <c r="K7" s="49">
        <f>SUM(L7:O7)</f>
        <v>7819.1520051923999</v>
      </c>
      <c r="L7" s="41">
        <v>5068.4520051924001</v>
      </c>
      <c r="M7" s="41"/>
      <c r="N7" s="34"/>
      <c r="O7" s="33">
        <v>2750.7000000000003</v>
      </c>
      <c r="P7" s="34">
        <v>4000</v>
      </c>
    </row>
    <row r="8" spans="2:16" ht="13.5" customHeight="1" x14ac:dyDescent="0.3">
      <c r="B8" s="7" t="s">
        <v>4</v>
      </c>
      <c r="C8" s="17">
        <f>SUM(D8:H8)</f>
        <v>83.007599999999996</v>
      </c>
      <c r="D8" s="41"/>
      <c r="E8" s="41">
        <v>57.671999999999997</v>
      </c>
      <c r="F8" s="41"/>
      <c r="G8" s="41"/>
      <c r="H8" s="33">
        <v>25.335599999999999</v>
      </c>
      <c r="I8" s="34"/>
      <c r="K8" s="49"/>
      <c r="L8" s="21"/>
      <c r="M8" s="21"/>
      <c r="N8" s="16"/>
      <c r="O8" s="15"/>
      <c r="P8" s="16"/>
    </row>
    <row r="9" spans="2:16" ht="13.5" customHeight="1" x14ac:dyDescent="0.3">
      <c r="B9" s="7" t="s">
        <v>5</v>
      </c>
      <c r="C9" s="17"/>
      <c r="D9" s="41"/>
      <c r="E9" s="41"/>
      <c r="F9" s="41"/>
      <c r="G9" s="41"/>
      <c r="H9" s="33"/>
      <c r="I9" s="34"/>
      <c r="K9" s="49"/>
      <c r="L9" s="21"/>
      <c r="M9" s="21"/>
      <c r="N9" s="16"/>
      <c r="O9" s="15"/>
      <c r="P9" s="16"/>
    </row>
    <row r="10" spans="2:16" ht="13.5" customHeight="1" thickBot="1" x14ac:dyDescent="0.35">
      <c r="B10" s="46" t="s">
        <v>6</v>
      </c>
      <c r="C10" s="63">
        <f>SUM(D10:H10)</f>
        <v>90698.152960000007</v>
      </c>
      <c r="D10" s="61">
        <f>D5+D6-D7+D8</f>
        <v>84492.603359999994</v>
      </c>
      <c r="E10" s="61">
        <f>E5+E6-E7+E8</f>
        <v>2573.4600000000005</v>
      </c>
      <c r="F10" s="61"/>
      <c r="G10" s="61"/>
      <c r="H10" s="66">
        <f>H5</f>
        <v>3632.0895999999998</v>
      </c>
      <c r="I10" s="62">
        <v>5000</v>
      </c>
      <c r="K10" s="51">
        <f>SUM(L10:O10)</f>
        <v>19512.553832200174</v>
      </c>
      <c r="L10" s="53">
        <v>15678.918231848984</v>
      </c>
      <c r="M10" s="53">
        <v>3401.1356003511887</v>
      </c>
      <c r="N10" s="54"/>
      <c r="O10" s="52">
        <v>432.49999999999955</v>
      </c>
      <c r="P10" s="54">
        <v>5000</v>
      </c>
    </row>
    <row r="11" spans="2:16" ht="13.5" customHeight="1" thickBot="1" x14ac:dyDescent="0.35">
      <c r="B11" s="8" t="s">
        <v>7</v>
      </c>
      <c r="C11" s="22"/>
      <c r="D11" s="38"/>
      <c r="E11" s="38"/>
      <c r="F11" s="38"/>
      <c r="G11" s="38"/>
      <c r="H11" s="39"/>
      <c r="I11" s="40"/>
      <c r="K11" s="55">
        <f>SUM(L11:O11)</f>
        <v>-138.40000000000043</v>
      </c>
      <c r="L11" s="67"/>
      <c r="M11" s="67"/>
      <c r="N11" s="68"/>
      <c r="O11" s="43">
        <v>-138.40000000000043</v>
      </c>
      <c r="P11" s="44"/>
    </row>
    <row r="12" spans="2:16" ht="13.5" customHeight="1" x14ac:dyDescent="0.3">
      <c r="B12" s="7" t="s">
        <v>8</v>
      </c>
      <c r="C12" s="17"/>
      <c r="H12" s="33"/>
      <c r="I12" s="34"/>
      <c r="K12" s="49">
        <f>SUM(L12:O12)</f>
        <v>1414.2543775174788</v>
      </c>
      <c r="L12" s="41">
        <v>522.63060772829942</v>
      </c>
      <c r="M12" s="41">
        <v>891.62376978917939</v>
      </c>
      <c r="N12" s="34"/>
      <c r="O12" s="33"/>
      <c r="P12" s="34"/>
    </row>
    <row r="13" spans="2:16" ht="13.5" customHeight="1" x14ac:dyDescent="0.3">
      <c r="B13" s="7" t="s">
        <v>9</v>
      </c>
      <c r="C13" s="17">
        <f>SUM(D13:H13)</f>
        <v>1145.9970000000001</v>
      </c>
      <c r="E13" s="24">
        <v>1145.9970000000001</v>
      </c>
      <c r="H13" s="33"/>
      <c r="I13" s="34"/>
      <c r="K13" s="18"/>
      <c r="L13" s="21"/>
      <c r="M13" s="21"/>
      <c r="N13" s="16"/>
      <c r="O13" s="15"/>
      <c r="P13" s="16"/>
    </row>
    <row r="14" spans="2:16" ht="13.5" customHeight="1" x14ac:dyDescent="0.3">
      <c r="B14" s="7" t="s">
        <v>10</v>
      </c>
      <c r="C14" s="17"/>
      <c r="H14" s="33"/>
      <c r="I14" s="34"/>
      <c r="K14" s="18"/>
      <c r="L14" s="21"/>
      <c r="M14" s="21"/>
      <c r="N14" s="16"/>
      <c r="O14" s="15"/>
      <c r="P14" s="16"/>
    </row>
    <row r="15" spans="2:16" ht="13.5" customHeight="1" x14ac:dyDescent="0.3">
      <c r="B15" s="7" t="s">
        <v>11</v>
      </c>
      <c r="C15" s="17">
        <f>SUM(D15:H15)</f>
        <v>394.62299999999999</v>
      </c>
      <c r="D15" s="24">
        <v>394.62299999999999</v>
      </c>
      <c r="H15" s="33"/>
      <c r="I15" s="34"/>
      <c r="K15" s="18"/>
      <c r="L15" s="21"/>
      <c r="M15" s="21"/>
      <c r="N15" s="16"/>
      <c r="O15" s="15"/>
      <c r="P15" s="16"/>
    </row>
    <row r="16" spans="2:16" ht="13.5" customHeight="1" x14ac:dyDescent="0.3">
      <c r="B16" s="7" t="s">
        <v>34</v>
      </c>
      <c r="C16" s="17"/>
      <c r="H16" s="33"/>
      <c r="I16" s="34"/>
      <c r="K16" s="18"/>
      <c r="L16" s="21"/>
      <c r="M16" s="21"/>
      <c r="N16" s="16"/>
      <c r="O16" s="15"/>
      <c r="P16" s="16"/>
    </row>
    <row r="17" spans="2:16" ht="13.5" customHeight="1" x14ac:dyDescent="0.3">
      <c r="B17" s="7" t="s">
        <v>12</v>
      </c>
      <c r="C17" s="17"/>
      <c r="H17" s="33"/>
      <c r="I17" s="34"/>
      <c r="K17" s="18"/>
      <c r="L17" s="21"/>
      <c r="M17" s="21"/>
      <c r="N17" s="16"/>
      <c r="O17" s="15"/>
      <c r="P17" s="16"/>
    </row>
    <row r="18" spans="2:16" ht="13.5" customHeight="1" x14ac:dyDescent="0.3">
      <c r="B18" s="7" t="s">
        <v>13</v>
      </c>
      <c r="C18" s="17"/>
      <c r="H18" s="33"/>
      <c r="I18" s="34"/>
      <c r="K18" s="18"/>
      <c r="L18" s="21"/>
      <c r="M18" s="21"/>
      <c r="N18" s="16"/>
      <c r="O18" s="15"/>
      <c r="P18" s="16"/>
    </row>
    <row r="19" spans="2:16" ht="13.5" customHeight="1" thickBot="1" x14ac:dyDescent="0.35">
      <c r="B19" s="7" t="s">
        <v>14</v>
      </c>
      <c r="C19" s="17"/>
      <c r="H19" s="33"/>
      <c r="I19" s="34"/>
      <c r="K19" s="18"/>
      <c r="L19" s="21"/>
      <c r="M19" s="21"/>
      <c r="N19" s="16"/>
      <c r="O19" s="15"/>
      <c r="P19" s="16"/>
    </row>
    <row r="20" spans="2:16" ht="13.5" customHeight="1" x14ac:dyDescent="0.3">
      <c r="B20" s="9" t="s">
        <v>15</v>
      </c>
      <c r="C20" s="20">
        <f>SUM(D20:H20)</f>
        <v>49994.143000000004</v>
      </c>
      <c r="D20" s="58">
        <f>SUM(D21:D26)</f>
        <v>47966.400000000001</v>
      </c>
      <c r="E20" s="58">
        <f>SUM(E21:E25)</f>
        <v>1427.463</v>
      </c>
      <c r="F20" s="58"/>
      <c r="G20" s="58"/>
      <c r="H20" s="57">
        <f>H25</f>
        <v>600.28</v>
      </c>
      <c r="I20" s="59">
        <v>5000</v>
      </c>
      <c r="K20" s="56">
        <f>SUM(L20:O20)</f>
        <v>18236.699454682694</v>
      </c>
      <c r="L20" s="58">
        <f t="shared" ref="L20:P20" si="0">SUM(L21:L26)</f>
        <v>15156.287624120683</v>
      </c>
      <c r="M20" s="58">
        <f t="shared" si="0"/>
        <v>2509.5118305620094</v>
      </c>
      <c r="N20" s="58"/>
      <c r="O20" s="57">
        <f t="shared" si="0"/>
        <v>570.9</v>
      </c>
      <c r="P20" s="59">
        <f t="shared" si="0"/>
        <v>5000</v>
      </c>
    </row>
    <row r="21" spans="2:16" ht="13.5" customHeight="1" x14ac:dyDescent="0.3">
      <c r="B21" s="7" t="s">
        <v>16</v>
      </c>
      <c r="C21" s="17">
        <f>SUM(D21:H21)</f>
        <v>1886.9982</v>
      </c>
      <c r="D21" s="41">
        <v>445.5</v>
      </c>
      <c r="E21" s="41">
        <v>1427.463</v>
      </c>
      <c r="F21" s="41"/>
      <c r="G21" s="41"/>
      <c r="H21" s="33">
        <v>14.0352</v>
      </c>
      <c r="I21" s="34"/>
      <c r="K21" s="49">
        <f>SUM(L21:O21)</f>
        <v>2962.458357259869</v>
      </c>
      <c r="L21" s="41">
        <v>452.94652669785955</v>
      </c>
      <c r="M21" s="41">
        <v>2509.5118305620094</v>
      </c>
      <c r="N21" s="41"/>
      <c r="O21" s="33"/>
      <c r="P21" s="34"/>
    </row>
    <row r="22" spans="2:16" ht="13.5" customHeight="1" x14ac:dyDescent="0.3">
      <c r="B22" s="7" t="s">
        <v>17</v>
      </c>
      <c r="C22" s="17"/>
      <c r="D22" s="41"/>
      <c r="E22" s="41"/>
      <c r="F22" s="41"/>
      <c r="G22" s="41"/>
      <c r="H22" s="33"/>
      <c r="I22" s="34"/>
      <c r="K22" s="18"/>
      <c r="L22" s="21"/>
      <c r="M22" s="21"/>
      <c r="N22" s="21"/>
      <c r="O22" s="15"/>
      <c r="P22" s="16"/>
    </row>
    <row r="23" spans="2:16" ht="13.5" customHeight="1" x14ac:dyDescent="0.3">
      <c r="B23" s="7" t="s">
        <v>18</v>
      </c>
      <c r="C23" s="17"/>
      <c r="D23" s="41"/>
      <c r="E23" s="41"/>
      <c r="F23" s="41"/>
      <c r="G23" s="41"/>
      <c r="H23" s="33"/>
      <c r="I23" s="34"/>
      <c r="K23" s="18"/>
      <c r="L23" s="21"/>
      <c r="M23" s="21"/>
      <c r="N23" s="21"/>
      <c r="O23" s="15"/>
      <c r="P23" s="16"/>
    </row>
    <row r="24" spans="2:16" ht="13.5" customHeight="1" x14ac:dyDescent="0.3">
      <c r="B24" s="7" t="s">
        <v>19</v>
      </c>
      <c r="C24" s="17">
        <f>SUM(D24:H24)</f>
        <v>142.90880000000001</v>
      </c>
      <c r="D24" s="41">
        <v>117.9</v>
      </c>
      <c r="E24" s="41"/>
      <c r="F24" s="41"/>
      <c r="G24" s="41"/>
      <c r="H24" s="33">
        <v>25.008800000000001</v>
      </c>
      <c r="I24" s="34"/>
      <c r="K24" s="49">
        <f t="shared" ref="K24:K25" si="1">SUM(L24:O24)</f>
        <v>139.24714180326987</v>
      </c>
      <c r="L24" s="41">
        <v>121.94714180326987</v>
      </c>
      <c r="M24" s="41"/>
      <c r="N24" s="41"/>
      <c r="O24" s="33">
        <v>17.3</v>
      </c>
      <c r="P24" s="34"/>
    </row>
    <row r="25" spans="2:16" ht="13.5" customHeight="1" x14ac:dyDescent="0.3">
      <c r="B25" s="7" t="s">
        <v>20</v>
      </c>
      <c r="C25" s="17">
        <f>SUM(D25:H25)</f>
        <v>48003.28</v>
      </c>
      <c r="D25" s="41">
        <v>47403</v>
      </c>
      <c r="E25" s="41"/>
      <c r="F25" s="41"/>
      <c r="G25" s="41"/>
      <c r="H25" s="33">
        <v>600.28</v>
      </c>
      <c r="I25" s="34">
        <v>5000</v>
      </c>
      <c r="K25" s="49">
        <f t="shared" si="1"/>
        <v>15134.993955619555</v>
      </c>
      <c r="L25" s="41">
        <v>14581.393955619555</v>
      </c>
      <c r="M25" s="41"/>
      <c r="N25" s="41"/>
      <c r="O25" s="33">
        <v>553.6</v>
      </c>
      <c r="P25" s="34">
        <v>5000</v>
      </c>
    </row>
    <row r="26" spans="2:16" ht="13.5" customHeight="1" thickBot="1" x14ac:dyDescent="0.35">
      <c r="B26" s="8" t="s">
        <v>21</v>
      </c>
      <c r="C26" s="19"/>
      <c r="D26" s="38"/>
      <c r="E26" s="38"/>
      <c r="F26" s="38"/>
      <c r="G26" s="38"/>
      <c r="H26" s="39"/>
      <c r="I26" s="40"/>
      <c r="K26" s="50"/>
      <c r="L26" s="38"/>
      <c r="M26" s="38"/>
      <c r="N26" s="38"/>
      <c r="O26" s="39"/>
      <c r="P26" s="40"/>
    </row>
    <row r="27" spans="2:16" ht="13.5" customHeight="1" thickBot="1" x14ac:dyDescent="0.35">
      <c r="B27" s="10" t="s">
        <v>22</v>
      </c>
      <c r="C27" s="19"/>
      <c r="D27" s="42">
        <v>9000</v>
      </c>
      <c r="E27" s="42">
        <v>9000</v>
      </c>
      <c r="F27" s="42"/>
      <c r="G27" s="42"/>
      <c r="H27" s="43">
        <v>17200</v>
      </c>
      <c r="I27" s="44">
        <v>27800</v>
      </c>
      <c r="L27" s="43">
        <v>13936.816206087986</v>
      </c>
      <c r="M27" s="42">
        <v>13936.816206087986</v>
      </c>
      <c r="N27" s="42">
        <v>12460</v>
      </c>
      <c r="O27" s="43">
        <v>17300</v>
      </c>
      <c r="P27" s="44">
        <v>30000</v>
      </c>
    </row>
    <row r="28" spans="2:16" ht="15" customHeight="1" x14ac:dyDescent="0.3">
      <c r="B28" s="71" t="s">
        <v>58</v>
      </c>
      <c r="H28" s="2"/>
      <c r="I28" s="2"/>
    </row>
    <row r="29" spans="2:16" x14ac:dyDescent="0.3">
      <c r="H29" s="2"/>
    </row>
    <row r="30" spans="2:16" x14ac:dyDescent="0.3">
      <c r="B30" s="11"/>
      <c r="C30" s="13"/>
      <c r="D30" s="2"/>
      <c r="E30" s="2"/>
      <c r="G30" s="2"/>
      <c r="H30" s="2"/>
    </row>
    <row r="31" spans="2:16" x14ac:dyDescent="0.3">
      <c r="C31" s="6"/>
      <c r="D31" s="2"/>
      <c r="E31" s="2"/>
      <c r="G31" s="2"/>
      <c r="H31" s="2"/>
    </row>
    <row r="32" spans="2:16" x14ac:dyDescent="0.3">
      <c r="C32" s="6"/>
      <c r="D32" s="2"/>
      <c r="E32" s="2"/>
      <c r="G32" s="2"/>
      <c r="H32" s="2"/>
    </row>
    <row r="33" spans="2:8" x14ac:dyDescent="0.3">
      <c r="B33" s="12"/>
      <c r="C33" s="6"/>
      <c r="D33" s="64"/>
      <c r="E33" s="64"/>
      <c r="G33" s="64"/>
      <c r="H33" s="2"/>
    </row>
    <row r="34" spans="2:8" x14ac:dyDescent="0.3">
      <c r="B34" s="12"/>
      <c r="C34" s="6"/>
      <c r="D34" s="64"/>
      <c r="E34" s="64"/>
      <c r="G34" s="64"/>
      <c r="H34" s="2"/>
    </row>
    <row r="35" spans="2:8" x14ac:dyDescent="0.3">
      <c r="B35" s="12"/>
      <c r="C35" s="6"/>
      <c r="D35" s="2"/>
      <c r="E35" s="2"/>
      <c r="G35" s="2"/>
      <c r="H35" s="2"/>
    </row>
    <row r="36" spans="2:8" x14ac:dyDescent="0.3">
      <c r="B36" s="13"/>
      <c r="D36" s="2"/>
      <c r="E36" s="2"/>
      <c r="G36" s="2"/>
      <c r="H36" s="2"/>
    </row>
    <row r="37" spans="2:8" x14ac:dyDescent="0.3">
      <c r="B37" s="12"/>
      <c r="D37" s="64"/>
      <c r="E37" s="2"/>
      <c r="G37" s="2"/>
      <c r="H37" s="2"/>
    </row>
    <row r="38" spans="2:8" x14ac:dyDescent="0.3">
      <c r="B38" s="6"/>
      <c r="D38" s="64"/>
      <c r="E38" s="2"/>
      <c r="G38" s="64"/>
      <c r="H38" s="2"/>
    </row>
    <row r="39" spans="2:8" x14ac:dyDescent="0.3">
      <c r="B39" s="6"/>
      <c r="C39" s="13"/>
      <c r="D39" s="2"/>
      <c r="E39" s="2"/>
      <c r="G39" s="2"/>
      <c r="H39" s="2"/>
    </row>
    <row r="40" spans="2:8" x14ac:dyDescent="0.3">
      <c r="B40" s="6"/>
      <c r="C40" s="14"/>
      <c r="D40" s="2"/>
      <c r="E40" s="2"/>
      <c r="G40" s="64"/>
      <c r="H40" s="2"/>
    </row>
    <row r="41" spans="2:8" x14ac:dyDescent="0.3">
      <c r="B41" s="6"/>
      <c r="C41" s="14"/>
      <c r="G41" s="2"/>
      <c r="H41" s="2"/>
    </row>
    <row r="42" spans="2:8" x14ac:dyDescent="0.3">
      <c r="B42" s="6"/>
      <c r="C42" s="14"/>
      <c r="H42" s="2"/>
    </row>
    <row r="43" spans="2:8" x14ac:dyDescent="0.3">
      <c r="B43" s="12"/>
      <c r="C43" s="14"/>
      <c r="H43" s="2"/>
    </row>
    <row r="44" spans="2:8" x14ac:dyDescent="0.3">
      <c r="B44" s="12"/>
      <c r="C44" s="14"/>
      <c r="H44" s="2"/>
    </row>
    <row r="45" spans="2:8" x14ac:dyDescent="0.3">
      <c r="B45" s="12"/>
      <c r="C45" s="14"/>
      <c r="H45" s="2"/>
    </row>
    <row r="46" spans="2:8" x14ac:dyDescent="0.3">
      <c r="B46" s="13"/>
      <c r="C46" s="14"/>
      <c r="H46" s="2"/>
    </row>
    <row r="47" spans="2:8" x14ac:dyDescent="0.3">
      <c r="B47" s="14"/>
    </row>
    <row r="48" spans="2:8" x14ac:dyDescent="0.3">
      <c r="B48" s="14"/>
    </row>
    <row r="49" spans="2:2" x14ac:dyDescent="0.3">
      <c r="B49" s="14"/>
    </row>
    <row r="50" spans="2:2" x14ac:dyDescent="0.3">
      <c r="B50" s="14"/>
    </row>
    <row r="51" spans="2:2" x14ac:dyDescent="0.3">
      <c r="B51" s="14"/>
    </row>
    <row r="52" spans="2:2" x14ac:dyDescent="0.3">
      <c r="B52" s="14"/>
    </row>
    <row r="53" spans="2:2" x14ac:dyDescent="0.3">
      <c r="B53" s="14"/>
    </row>
    <row r="54" spans="2:2" x14ac:dyDescent="0.3">
      <c r="B54" s="12"/>
    </row>
  </sheetData>
  <mergeCells count="2">
    <mergeCell ref="C2:I2"/>
    <mergeCell ref="K2:P2"/>
  </mergeCells>
  <printOptions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4"/>
  <sheetViews>
    <sheetView tabSelected="1" zoomScale="70" zoomScaleNormal="70" workbookViewId="0">
      <selection activeCell="C11" sqref="C11"/>
    </sheetView>
  </sheetViews>
  <sheetFormatPr defaultRowHeight="13" x14ac:dyDescent="0.3"/>
  <cols>
    <col min="1" max="1" width="3.26953125" style="2" customWidth="1"/>
    <col min="2" max="2" width="22.26953125" style="1" customWidth="1"/>
    <col min="3" max="3" width="7.81640625" style="12" customWidth="1"/>
    <col min="4" max="4" width="8.81640625" style="24" customWidth="1"/>
    <col min="5" max="5" width="6.81640625" style="24" customWidth="1"/>
    <col min="6" max="10" width="7.81640625" style="24" customWidth="1"/>
    <col min="11" max="11" width="2.453125" style="2" customWidth="1"/>
    <col min="12" max="16384" width="8.7265625" style="2"/>
  </cols>
  <sheetData>
    <row r="1" spans="2:17" ht="13.5" customHeight="1" thickBot="1" x14ac:dyDescent="0.35">
      <c r="B1" s="23" t="s">
        <v>50</v>
      </c>
    </row>
    <row r="2" spans="2:17" ht="13.5" customHeight="1" thickBot="1" x14ac:dyDescent="0.35">
      <c r="C2" s="208" t="s">
        <v>51</v>
      </c>
      <c r="D2" s="209"/>
      <c r="E2" s="209"/>
      <c r="F2" s="209"/>
      <c r="G2" s="209"/>
      <c r="H2" s="209"/>
      <c r="I2" s="209"/>
      <c r="J2" s="210"/>
      <c r="L2" s="211" t="s">
        <v>40</v>
      </c>
      <c r="M2" s="212"/>
      <c r="N2" s="212"/>
      <c r="O2" s="212"/>
      <c r="P2" s="212"/>
      <c r="Q2" s="213"/>
    </row>
    <row r="3" spans="2:17" ht="39.5" customHeight="1" x14ac:dyDescent="0.3">
      <c r="B3" s="3" t="s">
        <v>0</v>
      </c>
      <c r="C3" s="25" t="s">
        <v>30</v>
      </c>
      <c r="D3" s="26" t="s">
        <v>23</v>
      </c>
      <c r="E3" s="26" t="s">
        <v>24</v>
      </c>
      <c r="F3" s="26" t="s">
        <v>25</v>
      </c>
      <c r="G3" s="26" t="s">
        <v>31</v>
      </c>
      <c r="H3" s="26" t="s">
        <v>32</v>
      </c>
      <c r="I3" s="27" t="s">
        <v>33</v>
      </c>
      <c r="J3" s="28" t="s">
        <v>27</v>
      </c>
      <c r="L3" s="25" t="s">
        <v>41</v>
      </c>
      <c r="M3" s="26" t="s">
        <v>23</v>
      </c>
      <c r="N3" s="26" t="s">
        <v>24</v>
      </c>
      <c r="O3" s="28" t="s">
        <v>25</v>
      </c>
      <c r="P3" s="27" t="s">
        <v>33</v>
      </c>
      <c r="Q3" s="28" t="s">
        <v>27</v>
      </c>
    </row>
    <row r="4" spans="2:17" ht="13.5" customHeight="1" thickBot="1" x14ac:dyDescent="0.35">
      <c r="B4" s="4">
        <v>2013</v>
      </c>
      <c r="C4" s="65" t="s">
        <v>29</v>
      </c>
      <c r="D4" s="30" t="s">
        <v>29</v>
      </c>
      <c r="E4" s="30" t="s">
        <v>29</v>
      </c>
      <c r="F4" s="30" t="s">
        <v>29</v>
      </c>
      <c r="G4" s="30" t="s">
        <v>29</v>
      </c>
      <c r="H4" s="30" t="s">
        <v>29</v>
      </c>
      <c r="I4" s="31" t="s">
        <v>29</v>
      </c>
      <c r="J4" s="32" t="s">
        <v>28</v>
      </c>
      <c r="L4" s="29" t="s">
        <v>29</v>
      </c>
      <c r="M4" s="30" t="s">
        <v>29</v>
      </c>
      <c r="N4" s="30" t="s">
        <v>29</v>
      </c>
      <c r="O4" s="32" t="s">
        <v>29</v>
      </c>
      <c r="P4" s="31" t="s">
        <v>29</v>
      </c>
      <c r="Q4" s="32" t="s">
        <v>28</v>
      </c>
    </row>
    <row r="5" spans="2:17" ht="13.5" customHeight="1" x14ac:dyDescent="0.3">
      <c r="B5" s="5" t="s">
        <v>1</v>
      </c>
      <c r="C5" s="45">
        <f>SUM(D5:I5)</f>
        <v>129135.12217343687</v>
      </c>
      <c r="D5" s="35">
        <v>88966.503360000002</v>
      </c>
      <c r="E5" s="35">
        <f>21173.3281950064-I5</f>
        <v>18149.328195006401</v>
      </c>
      <c r="F5" s="35">
        <v>14218</v>
      </c>
      <c r="G5" s="35">
        <v>4761</v>
      </c>
      <c r="H5" s="35">
        <v>16.290618430475654</v>
      </c>
      <c r="I5" s="36">
        <v>3024</v>
      </c>
      <c r="J5" s="37"/>
      <c r="L5" s="49">
        <f>SUM(M5:P5)</f>
        <v>76221.586230920715</v>
      </c>
      <c r="M5" s="74">
        <v>47673.54253092072</v>
      </c>
      <c r="N5" s="74">
        <v>11559.343700000001</v>
      </c>
      <c r="O5" s="75">
        <v>14217.699999999999</v>
      </c>
      <c r="P5" s="33">
        <v>2771</v>
      </c>
      <c r="Q5" s="34">
        <v>6000</v>
      </c>
    </row>
    <row r="6" spans="2:17" ht="13.5" customHeight="1" x14ac:dyDescent="0.3">
      <c r="B6" s="7" t="s">
        <v>2</v>
      </c>
      <c r="C6" s="17">
        <f>SUM(D6:I6)</f>
        <v>4740</v>
      </c>
      <c r="D6" s="41">
        <v>4740</v>
      </c>
      <c r="E6" s="41"/>
      <c r="F6" s="41"/>
      <c r="G6" s="41"/>
      <c r="H6" s="41"/>
      <c r="I6" s="33"/>
      <c r="J6" s="34"/>
      <c r="L6" s="49">
        <f>SUM(M6:P6)</f>
        <v>1037.64489645552</v>
      </c>
      <c r="M6" s="41">
        <v>425.64489645551993</v>
      </c>
      <c r="N6" s="41"/>
      <c r="O6" s="34"/>
      <c r="P6" s="33">
        <v>612</v>
      </c>
      <c r="Q6" s="34">
        <v>16000</v>
      </c>
    </row>
    <row r="7" spans="2:17" ht="13.5" customHeight="1" x14ac:dyDescent="0.3">
      <c r="B7" s="7" t="s">
        <v>3</v>
      </c>
      <c r="C7" s="17">
        <f>SUM(D7:I7)</f>
        <v>9736</v>
      </c>
      <c r="D7" s="41">
        <v>9114.8997750690651</v>
      </c>
      <c r="E7" s="41"/>
      <c r="F7" s="41"/>
      <c r="G7" s="41"/>
      <c r="H7" s="41"/>
      <c r="I7" s="33">
        <v>621.10022493093493</v>
      </c>
      <c r="J7" s="34"/>
      <c r="L7" s="49">
        <f>SUM(M7:P7)</f>
        <v>3534.3378962562401</v>
      </c>
      <c r="M7" s="41">
        <v>1307.3378962562399</v>
      </c>
      <c r="N7" s="41"/>
      <c r="O7" s="34"/>
      <c r="P7" s="33">
        <v>2227</v>
      </c>
      <c r="Q7" s="34">
        <v>1000</v>
      </c>
    </row>
    <row r="8" spans="2:17" ht="13.5" customHeight="1" x14ac:dyDescent="0.3">
      <c r="B8" s="7" t="s">
        <v>4</v>
      </c>
      <c r="C8" s="17"/>
      <c r="D8" s="41"/>
      <c r="E8" s="41"/>
      <c r="F8" s="41"/>
      <c r="G8" s="41"/>
      <c r="H8" s="41"/>
      <c r="I8" s="33"/>
      <c r="J8" s="34"/>
      <c r="L8" s="49"/>
      <c r="M8" s="21"/>
      <c r="N8" s="21"/>
      <c r="O8" s="16"/>
      <c r="P8" s="15"/>
      <c r="Q8" s="16"/>
    </row>
    <row r="9" spans="2:17" ht="13.5" customHeight="1" x14ac:dyDescent="0.3">
      <c r="B9" s="7" t="s">
        <v>5</v>
      </c>
      <c r="C9" s="17"/>
      <c r="D9" s="41"/>
      <c r="E9" s="41"/>
      <c r="F9" s="41"/>
      <c r="G9" s="41"/>
      <c r="H9" s="41"/>
      <c r="I9" s="33"/>
      <c r="J9" s="34"/>
      <c r="L9" s="49"/>
      <c r="M9" s="21"/>
      <c r="N9" s="21"/>
      <c r="O9" s="16"/>
      <c r="P9" s="15"/>
      <c r="Q9" s="16"/>
    </row>
    <row r="10" spans="2:17" ht="13.5" customHeight="1" thickBot="1" x14ac:dyDescent="0.35">
      <c r="B10" s="46" t="s">
        <v>6</v>
      </c>
      <c r="C10" s="63">
        <f>SUM(D10:H10)</f>
        <v>127784.22239836781</v>
      </c>
      <c r="D10" s="61">
        <f>D5+D6-D7+D8</f>
        <v>84591.603584930941</v>
      </c>
      <c r="E10" s="61">
        <v>24197.328195006401</v>
      </c>
      <c r="F10" s="61">
        <v>14218</v>
      </c>
      <c r="G10" s="61">
        <v>4761</v>
      </c>
      <c r="H10" s="61">
        <f>H5</f>
        <v>16.290618430475654</v>
      </c>
      <c r="I10" s="66">
        <v>2402.8997750690651</v>
      </c>
      <c r="J10" s="62"/>
      <c r="L10" s="51">
        <f>SUM(M10:P10)</f>
        <v>73724.89323111999</v>
      </c>
      <c r="M10" s="53">
        <v>46791.849531119995</v>
      </c>
      <c r="N10" s="53">
        <v>11559.343700000001</v>
      </c>
      <c r="O10" s="54">
        <v>14217.699999999999</v>
      </c>
      <c r="P10" s="52">
        <v>1156</v>
      </c>
      <c r="Q10" s="54">
        <v>21000</v>
      </c>
    </row>
    <row r="11" spans="2:17" ht="13.5" customHeight="1" thickBot="1" x14ac:dyDescent="0.35">
      <c r="B11" s="8" t="s">
        <v>7</v>
      </c>
      <c r="C11" s="22"/>
      <c r="D11" s="38"/>
      <c r="E11" s="38"/>
      <c r="F11" s="38"/>
      <c r="G11" s="38"/>
      <c r="H11" s="38"/>
      <c r="I11" s="39"/>
      <c r="J11" s="40"/>
      <c r="L11" s="55">
        <f>SUM(M11:P11)</f>
        <v>-1207</v>
      </c>
      <c r="M11" s="67"/>
      <c r="N11" s="67"/>
      <c r="O11" s="68"/>
      <c r="P11" s="43">
        <v>-1207</v>
      </c>
      <c r="Q11" s="44">
        <v>1000</v>
      </c>
    </row>
    <row r="12" spans="2:17" ht="13.5" customHeight="1" x14ac:dyDescent="0.3">
      <c r="B12" s="7" t="s">
        <v>8</v>
      </c>
      <c r="C12" s="17">
        <f t="shared" ref="C12:C14" si="0">SUM(D12:I12)</f>
        <v>191</v>
      </c>
      <c r="E12" s="24">
        <v>15.916666666666657</v>
      </c>
      <c r="G12" s="24">
        <v>159.16666666666669</v>
      </c>
      <c r="H12" s="24">
        <v>15.916666666666657</v>
      </c>
      <c r="I12" s="33"/>
      <c r="J12" s="34"/>
      <c r="L12" s="49">
        <f>SUM(M12:P12)</f>
        <v>6622.9625000000005</v>
      </c>
      <c r="M12" s="41"/>
      <c r="N12" s="41">
        <v>6622.9625000000005</v>
      </c>
      <c r="O12" s="34"/>
      <c r="P12" s="33"/>
      <c r="Q12" s="34"/>
    </row>
    <row r="13" spans="2:17" ht="13.5" customHeight="1" x14ac:dyDescent="0.3">
      <c r="B13" s="7" t="s">
        <v>9</v>
      </c>
      <c r="C13" s="17">
        <f>SUM(D13:H13)</f>
        <v>17498.055755395682</v>
      </c>
      <c r="E13" s="24">
        <v>9139.0377697841723</v>
      </c>
      <c r="F13" s="24">
        <v>7253.0197841726613</v>
      </c>
      <c r="G13" s="24">
        <v>1105.9982014388481</v>
      </c>
      <c r="I13" s="33">
        <v>1920.9442446043165</v>
      </c>
      <c r="J13" s="34"/>
      <c r="L13" s="18"/>
      <c r="M13" s="21"/>
      <c r="N13" s="21"/>
      <c r="O13" s="16"/>
      <c r="P13" s="15"/>
      <c r="Q13" s="16"/>
    </row>
    <row r="14" spans="2:17" ht="13.5" customHeight="1" x14ac:dyDescent="0.3">
      <c r="B14" s="7" t="s">
        <v>10</v>
      </c>
      <c r="C14" s="17">
        <f t="shared" si="0"/>
        <v>1287</v>
      </c>
      <c r="E14" s="24">
        <v>1287</v>
      </c>
      <c r="I14" s="33"/>
      <c r="J14" s="34"/>
      <c r="L14" s="18"/>
      <c r="M14" s="21"/>
      <c r="N14" s="21"/>
      <c r="O14" s="16"/>
      <c r="P14" s="15"/>
      <c r="Q14" s="16"/>
    </row>
    <row r="15" spans="2:17" ht="13.5" customHeight="1" x14ac:dyDescent="0.3">
      <c r="B15" s="7" t="s">
        <v>11</v>
      </c>
      <c r="C15" s="17"/>
      <c r="I15" s="33"/>
      <c r="J15" s="34"/>
      <c r="L15" s="18"/>
      <c r="M15" s="21"/>
      <c r="N15" s="21"/>
      <c r="O15" s="16"/>
      <c r="P15" s="15"/>
      <c r="Q15" s="16"/>
    </row>
    <row r="16" spans="2:17" ht="13.5" customHeight="1" x14ac:dyDescent="0.3">
      <c r="B16" s="7" t="s">
        <v>34</v>
      </c>
      <c r="C16" s="17"/>
      <c r="I16" s="33"/>
      <c r="J16" s="34"/>
      <c r="L16" s="18"/>
      <c r="M16" s="21"/>
      <c r="N16" s="21"/>
      <c r="O16" s="16"/>
      <c r="P16" s="15"/>
      <c r="Q16" s="16"/>
    </row>
    <row r="17" spans="2:17" ht="13.5" customHeight="1" x14ac:dyDescent="0.3">
      <c r="B17" s="7" t="s">
        <v>12</v>
      </c>
      <c r="C17" s="17"/>
      <c r="I17" s="33"/>
      <c r="J17" s="34"/>
      <c r="L17" s="18"/>
      <c r="M17" s="21"/>
      <c r="N17" s="21"/>
      <c r="O17" s="16"/>
      <c r="P17" s="15"/>
      <c r="Q17" s="16"/>
    </row>
    <row r="18" spans="2:17" ht="13.5" customHeight="1" x14ac:dyDescent="0.3">
      <c r="B18" s="7" t="s">
        <v>13</v>
      </c>
      <c r="C18" s="17"/>
      <c r="I18" s="33"/>
      <c r="J18" s="34"/>
      <c r="L18" s="18"/>
      <c r="M18" s="21"/>
      <c r="N18" s="21"/>
      <c r="O18" s="16"/>
      <c r="P18" s="15"/>
      <c r="Q18" s="16"/>
    </row>
    <row r="19" spans="2:17" ht="13.5" customHeight="1" thickBot="1" x14ac:dyDescent="0.35">
      <c r="B19" s="7" t="s">
        <v>14</v>
      </c>
      <c r="C19" s="17"/>
      <c r="I19" s="33"/>
      <c r="J19" s="34"/>
      <c r="L19" s="18"/>
      <c r="M19" s="21"/>
      <c r="N19" s="21"/>
      <c r="O19" s="16"/>
      <c r="P19" s="15"/>
      <c r="Q19" s="16"/>
    </row>
    <row r="20" spans="2:17" ht="13.5" customHeight="1" x14ac:dyDescent="0.3">
      <c r="B20" s="9" t="s">
        <v>15</v>
      </c>
      <c r="C20" s="20">
        <f>SUM(D20:H20)</f>
        <v>69612.670517771447</v>
      </c>
      <c r="D20" s="58">
        <f>SUM(D21:D26)</f>
        <v>51444.481411494096</v>
      </c>
      <c r="E20" s="58">
        <v>7707.3737585555209</v>
      </c>
      <c r="F20" s="58">
        <v>6964.9802158273387</v>
      </c>
      <c r="G20" s="58">
        <v>3495.8351318944851</v>
      </c>
      <c r="H20" s="58">
        <f>H25</f>
        <v>0</v>
      </c>
      <c r="I20" s="57">
        <v>481.95553046474856</v>
      </c>
      <c r="J20" s="59"/>
      <c r="L20" s="56">
        <f>SUM(M20:P20)</f>
        <v>54091.230731119998</v>
      </c>
      <c r="M20" s="58">
        <f t="shared" ref="M20:Q20" si="1">SUM(M21:M26)</f>
        <v>46791.849531119995</v>
      </c>
      <c r="N20" s="58">
        <f t="shared" si="1"/>
        <v>4936.3811999999998</v>
      </c>
      <c r="O20" s="58"/>
      <c r="P20" s="57">
        <f t="shared" si="1"/>
        <v>2363</v>
      </c>
      <c r="Q20" s="59">
        <f t="shared" si="1"/>
        <v>20000</v>
      </c>
    </row>
    <row r="21" spans="2:17" ht="13.5" customHeight="1" x14ac:dyDescent="0.3">
      <c r="B21" s="7" t="s">
        <v>16</v>
      </c>
      <c r="C21" s="17">
        <f t="shared" ref="C21" si="2">SUM(D21:I21)</f>
        <v>18518.626048236194</v>
      </c>
      <c r="D21" s="41">
        <v>3113.7393973867311</v>
      </c>
      <c r="E21" s="41">
        <v>7707.3737585555209</v>
      </c>
      <c r="F21" s="41">
        <v>6964.9802158273387</v>
      </c>
      <c r="G21" s="41">
        <v>250.57714600185324</v>
      </c>
      <c r="H21" s="41"/>
      <c r="I21" s="33">
        <v>481.95553046474856</v>
      </c>
      <c r="J21" s="34"/>
      <c r="L21" s="49">
        <f>SUM(M21:P21)</f>
        <v>21868.554360359998</v>
      </c>
      <c r="M21" s="41">
        <v>3390.2856603599994</v>
      </c>
      <c r="N21" s="41">
        <v>4260.5686999999998</v>
      </c>
      <c r="O21" s="41">
        <v>14217.699999999999</v>
      </c>
      <c r="P21" s="33"/>
      <c r="Q21" s="34"/>
    </row>
    <row r="22" spans="2:17" ht="13.5" customHeight="1" x14ac:dyDescent="0.3">
      <c r="B22" s="7" t="s">
        <v>17</v>
      </c>
      <c r="C22" s="17"/>
      <c r="D22" s="41"/>
      <c r="E22" s="41"/>
      <c r="F22" s="41"/>
      <c r="G22" s="41"/>
      <c r="H22" s="41"/>
      <c r="I22" s="33"/>
      <c r="J22" s="34"/>
      <c r="L22" s="18"/>
      <c r="M22" s="21"/>
      <c r="N22" s="21"/>
      <c r="O22" s="21"/>
      <c r="P22" s="15"/>
      <c r="Q22" s="16"/>
    </row>
    <row r="23" spans="2:17" ht="13.5" customHeight="1" x14ac:dyDescent="0.3">
      <c r="B23" s="7" t="s">
        <v>18</v>
      </c>
      <c r="C23" s="17"/>
      <c r="D23" s="41"/>
      <c r="E23" s="41"/>
      <c r="F23" s="41"/>
      <c r="G23" s="41"/>
      <c r="H23" s="41"/>
      <c r="I23" s="33"/>
      <c r="J23" s="34"/>
      <c r="L23" s="18"/>
      <c r="M23" s="21"/>
      <c r="N23" s="21"/>
      <c r="O23" s="21"/>
      <c r="P23" s="15"/>
      <c r="Q23" s="16"/>
    </row>
    <row r="24" spans="2:17" ht="13.5" customHeight="1" x14ac:dyDescent="0.3">
      <c r="B24" s="7" t="s">
        <v>19</v>
      </c>
      <c r="C24" s="17">
        <f t="shared" ref="C24:C26" si="3">SUM(D24:I24)</f>
        <v>530</v>
      </c>
      <c r="D24" s="41">
        <v>530</v>
      </c>
      <c r="E24" s="41"/>
      <c r="F24" s="41"/>
      <c r="G24" s="41"/>
      <c r="H24" s="41"/>
      <c r="I24" s="33"/>
      <c r="J24" s="34"/>
      <c r="L24" s="49"/>
      <c r="M24" s="41"/>
      <c r="N24" s="41">
        <v>503.78749999999991</v>
      </c>
      <c r="O24" s="41"/>
      <c r="P24" s="33"/>
      <c r="Q24" s="34"/>
    </row>
    <row r="25" spans="2:17" ht="13.5" customHeight="1" x14ac:dyDescent="0.3">
      <c r="B25" s="7" t="s">
        <v>20</v>
      </c>
      <c r="C25" s="17">
        <f t="shared" si="3"/>
        <v>50663</v>
      </c>
      <c r="D25" s="41">
        <v>47800.742014107367</v>
      </c>
      <c r="E25" s="41"/>
      <c r="F25" s="41"/>
      <c r="G25" s="41">
        <v>2862.257985892632</v>
      </c>
      <c r="H25" s="41"/>
      <c r="I25" s="33"/>
      <c r="J25" s="34"/>
      <c r="L25" s="49">
        <f t="shared" ref="L25:L26" si="4">SUM(M25:P25)</f>
        <v>45764.563870759994</v>
      </c>
      <c r="M25" s="41">
        <v>43401.563870759994</v>
      </c>
      <c r="N25" s="41"/>
      <c r="O25" s="41"/>
      <c r="P25" s="33">
        <v>2363</v>
      </c>
      <c r="Q25" s="34">
        <v>20000</v>
      </c>
    </row>
    <row r="26" spans="2:17" ht="13.5" customHeight="1" thickBot="1" x14ac:dyDescent="0.35">
      <c r="B26" s="8" t="s">
        <v>21</v>
      </c>
      <c r="C26" s="19">
        <f t="shared" si="3"/>
        <v>383</v>
      </c>
      <c r="D26" s="38"/>
      <c r="E26" s="38"/>
      <c r="F26" s="38"/>
      <c r="G26" s="38">
        <v>383</v>
      </c>
      <c r="H26" s="38"/>
      <c r="I26" s="39"/>
      <c r="J26" s="40"/>
      <c r="L26" s="50">
        <f t="shared" si="4"/>
        <v>172.02500000000001</v>
      </c>
      <c r="M26" s="38"/>
      <c r="N26" s="38">
        <v>172.02500000000001</v>
      </c>
      <c r="O26" s="38"/>
      <c r="P26" s="39"/>
      <c r="Q26" s="40"/>
    </row>
    <row r="27" spans="2:17" ht="13.5" customHeight="1" thickBot="1" x14ac:dyDescent="0.35">
      <c r="B27" s="10" t="s">
        <v>22</v>
      </c>
      <c r="C27" s="19"/>
      <c r="D27" s="42">
        <v>15120</v>
      </c>
      <c r="E27" s="42">
        <v>8559.7522036901955</v>
      </c>
      <c r="F27" s="42">
        <v>10688.843247339442</v>
      </c>
      <c r="G27" s="42">
        <v>9567.628731173103</v>
      </c>
      <c r="H27" s="42">
        <v>1838.5042468485524</v>
      </c>
      <c r="I27" s="43">
        <v>14077.698162669898</v>
      </c>
      <c r="J27" s="44"/>
      <c r="M27" s="43">
        <v>14581.873807999998</v>
      </c>
      <c r="N27" s="42">
        <v>9830</v>
      </c>
      <c r="O27" s="42">
        <v>10690</v>
      </c>
      <c r="P27" s="43">
        <v>17000</v>
      </c>
      <c r="Q27" s="44">
        <v>30000</v>
      </c>
    </row>
    <row r="28" spans="2:17" ht="15" customHeight="1" x14ac:dyDescent="0.3"/>
    <row r="30" spans="2:17" x14ac:dyDescent="0.3">
      <c r="B30" s="11"/>
      <c r="C30" s="13"/>
      <c r="D30" s="2"/>
      <c r="E30" s="2"/>
      <c r="F30" s="2"/>
      <c r="G30" s="2"/>
      <c r="H30" s="2"/>
      <c r="I30" s="2"/>
    </row>
    <row r="31" spans="2:17" x14ac:dyDescent="0.3">
      <c r="C31" s="6"/>
      <c r="D31" s="2"/>
      <c r="E31" s="2"/>
      <c r="F31" s="2"/>
      <c r="G31" s="2"/>
      <c r="H31" s="2"/>
      <c r="I31" s="2"/>
    </row>
    <row r="32" spans="2:17" x14ac:dyDescent="0.3">
      <c r="C32" s="6"/>
      <c r="D32" s="2"/>
      <c r="E32" s="2"/>
      <c r="F32" s="2"/>
      <c r="G32" s="2"/>
      <c r="H32" s="2"/>
      <c r="I32" s="2"/>
      <c r="J32" s="24" t="s">
        <v>35</v>
      </c>
    </row>
    <row r="33" spans="2:10" x14ac:dyDescent="0.3">
      <c r="B33" s="12"/>
      <c r="C33" s="6"/>
      <c r="D33" s="64"/>
      <c r="E33" s="64"/>
      <c r="F33" s="64"/>
      <c r="G33" s="64"/>
      <c r="H33" s="64"/>
      <c r="I33" s="64"/>
    </row>
    <row r="34" spans="2:10" x14ac:dyDescent="0.3">
      <c r="B34" s="12"/>
      <c r="C34" s="6"/>
      <c r="D34" s="64"/>
      <c r="E34" s="64"/>
      <c r="F34" s="64"/>
      <c r="G34" s="64"/>
      <c r="H34" s="64"/>
      <c r="I34" s="64"/>
    </row>
    <row r="35" spans="2:10" x14ac:dyDescent="0.3">
      <c r="B35" s="12"/>
      <c r="C35" s="6"/>
      <c r="D35" s="2"/>
      <c r="E35" s="2"/>
      <c r="F35" s="2"/>
      <c r="G35" s="2"/>
      <c r="H35" s="2"/>
      <c r="I35" s="2"/>
    </row>
    <row r="36" spans="2:10" x14ac:dyDescent="0.3">
      <c r="B36" s="13"/>
      <c r="D36" s="2"/>
      <c r="E36" s="2"/>
      <c r="F36" s="2"/>
      <c r="G36" s="2"/>
      <c r="H36" s="2"/>
      <c r="I36" s="2"/>
    </row>
    <row r="37" spans="2:10" x14ac:dyDescent="0.3">
      <c r="B37" s="12"/>
      <c r="D37" s="64"/>
      <c r="E37" s="2"/>
      <c r="F37" s="2"/>
      <c r="G37" s="2"/>
      <c r="H37" s="2"/>
      <c r="I37" s="2"/>
    </row>
    <row r="38" spans="2:10" x14ac:dyDescent="0.3">
      <c r="B38" s="6"/>
      <c r="D38" s="64"/>
      <c r="E38" s="2"/>
      <c r="F38" s="2"/>
      <c r="G38" s="64"/>
      <c r="H38" s="2"/>
      <c r="I38" s="2"/>
    </row>
    <row r="39" spans="2:10" x14ac:dyDescent="0.3">
      <c r="B39" s="6"/>
      <c r="C39" s="13"/>
      <c r="D39" s="2"/>
      <c r="E39" s="2"/>
      <c r="F39" s="2"/>
      <c r="G39" s="2"/>
      <c r="H39" s="2"/>
      <c r="I39" s="2"/>
    </row>
    <row r="40" spans="2:10" x14ac:dyDescent="0.3">
      <c r="B40" s="6"/>
      <c r="C40" s="14"/>
      <c r="D40" s="2"/>
      <c r="E40" s="2"/>
      <c r="F40" s="2"/>
      <c r="G40" s="64"/>
      <c r="H40" s="2"/>
      <c r="I40" s="2"/>
    </row>
    <row r="41" spans="2:10" x14ac:dyDescent="0.3">
      <c r="B41" s="6"/>
      <c r="C41" s="14"/>
      <c r="G41" s="2"/>
      <c r="H41" s="2"/>
      <c r="I41" s="2"/>
      <c r="J41" s="24" t="s">
        <v>35</v>
      </c>
    </row>
    <row r="42" spans="2:10" x14ac:dyDescent="0.3">
      <c r="B42" s="6"/>
      <c r="C42" s="14"/>
    </row>
    <row r="43" spans="2:10" x14ac:dyDescent="0.3">
      <c r="B43" s="12"/>
      <c r="C43" s="14"/>
    </row>
    <row r="44" spans="2:10" x14ac:dyDescent="0.3">
      <c r="B44" s="12"/>
      <c r="C44" s="14"/>
    </row>
    <row r="45" spans="2:10" x14ac:dyDescent="0.3">
      <c r="B45" s="12"/>
      <c r="C45" s="14"/>
    </row>
    <row r="46" spans="2:10" x14ac:dyDescent="0.3">
      <c r="B46" s="13"/>
      <c r="C46" s="14"/>
    </row>
    <row r="47" spans="2:10" x14ac:dyDescent="0.3">
      <c r="B47" s="14"/>
    </row>
    <row r="48" spans="2:10" x14ac:dyDescent="0.3">
      <c r="B48" s="14"/>
    </row>
    <row r="49" spans="2:2" x14ac:dyDescent="0.3">
      <c r="B49" s="14"/>
    </row>
    <row r="50" spans="2:2" x14ac:dyDescent="0.3">
      <c r="B50" s="14"/>
    </row>
    <row r="51" spans="2:2" x14ac:dyDescent="0.3">
      <c r="B51" s="14"/>
    </row>
    <row r="52" spans="2:2" x14ac:dyDescent="0.3">
      <c r="B52" s="14"/>
    </row>
    <row r="53" spans="2:2" x14ac:dyDescent="0.3">
      <c r="B53" s="14"/>
    </row>
    <row r="54" spans="2:2" x14ac:dyDescent="0.3">
      <c r="B54" s="12"/>
    </row>
  </sheetData>
  <mergeCells count="2">
    <mergeCell ref="C2:J2"/>
    <mergeCell ref="L2:Q2"/>
  </mergeCells>
  <printOptions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4"/>
  <sheetViews>
    <sheetView tabSelected="1" zoomScale="70" zoomScaleNormal="70" workbookViewId="0">
      <selection activeCell="C11" sqref="C11"/>
    </sheetView>
  </sheetViews>
  <sheetFormatPr defaultRowHeight="13" x14ac:dyDescent="0.3"/>
  <cols>
    <col min="1" max="1" width="3.26953125" style="2" customWidth="1"/>
    <col min="2" max="2" width="22.26953125" style="1" customWidth="1"/>
    <col min="3" max="3" width="7.81640625" style="12" customWidth="1"/>
    <col min="4" max="5" width="8.81640625" style="24" customWidth="1"/>
    <col min="6" max="6" width="6.81640625" style="24" customWidth="1"/>
    <col min="7" max="9" width="7.81640625" style="24" customWidth="1"/>
    <col min="10" max="10" width="2.453125" style="2" customWidth="1"/>
    <col min="11" max="16384" width="8.7265625" style="2"/>
  </cols>
  <sheetData>
    <row r="1" spans="2:25" ht="13.5" customHeight="1" thickBot="1" x14ac:dyDescent="0.35">
      <c r="B1" s="23" t="s">
        <v>44</v>
      </c>
    </row>
    <row r="2" spans="2:25" ht="13.5" customHeight="1" thickBot="1" x14ac:dyDescent="0.35">
      <c r="C2" s="208" t="s">
        <v>45</v>
      </c>
      <c r="D2" s="209"/>
      <c r="E2" s="209"/>
      <c r="F2" s="209"/>
      <c r="G2" s="209"/>
      <c r="H2" s="209"/>
      <c r="I2" s="210"/>
      <c r="K2" s="211" t="s">
        <v>40</v>
      </c>
      <c r="L2" s="212"/>
      <c r="M2" s="212"/>
      <c r="N2" s="212"/>
      <c r="O2" s="212"/>
      <c r="P2" s="213"/>
    </row>
    <row r="3" spans="2:25" ht="39.5" customHeight="1" x14ac:dyDescent="0.3">
      <c r="B3" s="3" t="s">
        <v>0</v>
      </c>
      <c r="C3" s="25" t="s">
        <v>30</v>
      </c>
      <c r="D3" s="26" t="s">
        <v>23</v>
      </c>
      <c r="E3" s="26" t="s">
        <v>24</v>
      </c>
      <c r="F3" s="26" t="s">
        <v>25</v>
      </c>
      <c r="G3" s="26" t="s">
        <v>31</v>
      </c>
      <c r="H3" s="27" t="s">
        <v>33</v>
      </c>
      <c r="I3" s="28" t="s">
        <v>27</v>
      </c>
      <c r="K3" s="25" t="s">
        <v>41</v>
      </c>
      <c r="L3" s="26" t="s">
        <v>23</v>
      </c>
      <c r="M3" s="26" t="s">
        <v>24</v>
      </c>
      <c r="N3" s="28" t="s">
        <v>25</v>
      </c>
      <c r="O3" s="27" t="s">
        <v>33</v>
      </c>
      <c r="P3" s="28" t="s">
        <v>27</v>
      </c>
      <c r="R3" s="74"/>
      <c r="S3" s="48"/>
      <c r="T3" s="48"/>
      <c r="U3" s="48"/>
      <c r="V3" s="48"/>
      <c r="W3" s="48"/>
      <c r="X3" s="24"/>
      <c r="Y3" s="24"/>
    </row>
    <row r="4" spans="2:25" ht="13.5" customHeight="1" thickBot="1" x14ac:dyDescent="0.35">
      <c r="B4" s="4">
        <v>2013</v>
      </c>
      <c r="C4" s="29" t="s">
        <v>29</v>
      </c>
      <c r="D4" s="30" t="s">
        <v>29</v>
      </c>
      <c r="E4" s="30" t="s">
        <v>29</v>
      </c>
      <c r="F4" s="30" t="s">
        <v>29</v>
      </c>
      <c r="G4" s="30" t="s">
        <v>29</v>
      </c>
      <c r="H4" s="31" t="s">
        <v>29</v>
      </c>
      <c r="I4" s="32" t="s">
        <v>28</v>
      </c>
      <c r="K4" s="29" t="s">
        <v>29</v>
      </c>
      <c r="L4" s="30" t="s">
        <v>29</v>
      </c>
      <c r="M4" s="30" t="s">
        <v>29</v>
      </c>
      <c r="N4" s="32" t="s">
        <v>29</v>
      </c>
      <c r="O4" s="31" t="s">
        <v>29</v>
      </c>
      <c r="P4" s="32" t="s">
        <v>28</v>
      </c>
      <c r="R4" s="74"/>
      <c r="S4" s="48"/>
      <c r="T4" s="48"/>
      <c r="U4" s="48"/>
      <c r="V4" s="48"/>
      <c r="W4" s="48"/>
      <c r="X4" s="24"/>
      <c r="Y4" s="24"/>
    </row>
    <row r="5" spans="2:25" ht="13.5" customHeight="1" x14ac:dyDescent="0.3">
      <c r="B5" s="5" t="s">
        <v>1</v>
      </c>
      <c r="C5" s="45">
        <v>337726</v>
      </c>
      <c r="D5" s="35">
        <v>88966.503360000002</v>
      </c>
      <c r="E5" s="35"/>
      <c r="F5" s="35"/>
      <c r="G5" s="35"/>
      <c r="H5" s="36"/>
      <c r="I5" s="37"/>
      <c r="K5" s="49">
        <f>SUM(L5:O5)</f>
        <v>330313.89626937883</v>
      </c>
      <c r="L5" s="74">
        <v>106512.42228479966</v>
      </c>
      <c r="M5" s="74">
        <v>61361.490883427221</v>
      </c>
      <c r="N5" s="75">
        <v>157768.98310115191</v>
      </c>
      <c r="O5" s="33">
        <v>4671</v>
      </c>
      <c r="P5" s="34">
        <v>0</v>
      </c>
      <c r="R5" s="74"/>
      <c r="S5" s="48"/>
      <c r="T5" s="48"/>
      <c r="U5" s="48"/>
      <c r="V5" s="69"/>
      <c r="W5" s="48"/>
      <c r="X5" s="24"/>
      <c r="Y5" s="24"/>
    </row>
    <row r="6" spans="2:25" ht="13.5" customHeight="1" x14ac:dyDescent="0.3">
      <c r="B6" s="7" t="s">
        <v>2</v>
      </c>
      <c r="C6" s="17">
        <v>2472</v>
      </c>
      <c r="D6" s="41">
        <v>2472</v>
      </c>
      <c r="E6" s="41"/>
      <c r="F6" s="41"/>
      <c r="G6" s="41"/>
      <c r="H6" s="33"/>
      <c r="I6" s="34"/>
      <c r="K6" s="49">
        <f>SUM(L6:O6)</f>
        <v>1630.4722377114645</v>
      </c>
      <c r="L6" s="41">
        <v>590.05023771146455</v>
      </c>
      <c r="M6" s="41"/>
      <c r="N6" s="34"/>
      <c r="O6" s="33">
        <v>1040.422</v>
      </c>
      <c r="P6" s="34">
        <v>2700</v>
      </c>
      <c r="R6" s="74"/>
      <c r="S6" s="48"/>
      <c r="T6" s="48"/>
      <c r="U6" s="48"/>
      <c r="V6" s="69"/>
      <c r="W6" s="48"/>
      <c r="X6" s="24"/>
      <c r="Y6" s="24"/>
    </row>
    <row r="7" spans="2:25" ht="13.5" customHeight="1" x14ac:dyDescent="0.3">
      <c r="B7" s="7" t="s">
        <v>3</v>
      </c>
      <c r="C7" s="17">
        <v>1649</v>
      </c>
      <c r="D7" s="41">
        <v>1649</v>
      </c>
      <c r="E7" s="41"/>
      <c r="F7" s="41"/>
      <c r="G7" s="41"/>
      <c r="H7" s="33"/>
      <c r="I7" s="34"/>
      <c r="K7" s="49">
        <f>SUM(L7:O7)</f>
        <v>2183.6355561054879</v>
      </c>
      <c r="L7" s="41">
        <v>830.08355610548813</v>
      </c>
      <c r="M7" s="41"/>
      <c r="N7" s="34"/>
      <c r="O7" s="33">
        <v>1353.5519999999999</v>
      </c>
      <c r="P7" s="34">
        <v>70</v>
      </c>
      <c r="R7" s="74"/>
      <c r="S7" s="48"/>
      <c r="T7" s="48"/>
      <c r="U7" s="48"/>
      <c r="V7" s="69"/>
      <c r="W7" s="48"/>
      <c r="X7" s="24"/>
      <c r="Y7" s="24"/>
    </row>
    <row r="8" spans="2:25" ht="13.5" customHeight="1" x14ac:dyDescent="0.3">
      <c r="B8" s="7" t="s">
        <v>4</v>
      </c>
      <c r="C8" s="17"/>
      <c r="D8" s="41"/>
      <c r="E8" s="41"/>
      <c r="F8" s="41"/>
      <c r="G8" s="41"/>
      <c r="H8" s="33"/>
      <c r="I8" s="34"/>
      <c r="K8" s="49"/>
      <c r="L8" s="21"/>
      <c r="M8" s="21"/>
      <c r="N8" s="16"/>
      <c r="O8" s="15"/>
      <c r="P8" s="16"/>
      <c r="X8" s="24"/>
      <c r="Y8" s="24"/>
    </row>
    <row r="9" spans="2:25" ht="13.5" customHeight="1" x14ac:dyDescent="0.3">
      <c r="B9" s="7" t="s">
        <v>5</v>
      </c>
      <c r="C9" s="17"/>
      <c r="D9" s="41"/>
      <c r="E9" s="41"/>
      <c r="F9" s="41"/>
      <c r="G9" s="41"/>
      <c r="H9" s="33"/>
      <c r="I9" s="34"/>
      <c r="K9" s="49"/>
      <c r="L9" s="21"/>
      <c r="M9" s="21"/>
      <c r="N9" s="16"/>
      <c r="O9" s="15"/>
      <c r="P9" s="16"/>
      <c r="X9" s="24"/>
      <c r="Y9" s="24"/>
    </row>
    <row r="10" spans="2:25" ht="13.5" customHeight="1" thickBot="1" x14ac:dyDescent="0.35">
      <c r="B10" s="46" t="s">
        <v>6</v>
      </c>
      <c r="C10" s="47">
        <f>SUM(D10:H10)</f>
        <v>89789.503360000002</v>
      </c>
      <c r="D10" s="61">
        <f>D5+D6-D7+D8</f>
        <v>89789.503360000002</v>
      </c>
      <c r="E10" s="61"/>
      <c r="F10" s="38"/>
      <c r="G10" s="38"/>
      <c r="H10" s="39">
        <f>H5</f>
        <v>0</v>
      </c>
      <c r="I10" s="40"/>
      <c r="K10" s="51">
        <f>SUM(L10:O10)</f>
        <v>329760.73295098473</v>
      </c>
      <c r="L10" s="53">
        <v>106272.38896640563</v>
      </c>
      <c r="M10" s="53">
        <v>61361.490883427221</v>
      </c>
      <c r="N10" s="54">
        <v>157768.98310115191</v>
      </c>
      <c r="O10" s="52">
        <v>4357.8700000000008</v>
      </c>
      <c r="P10" s="54">
        <v>2630</v>
      </c>
      <c r="R10" s="74"/>
      <c r="S10" s="48"/>
      <c r="T10" s="48"/>
      <c r="U10" s="48"/>
      <c r="V10" s="48"/>
      <c r="W10" s="48"/>
      <c r="X10" s="24"/>
      <c r="Y10" s="24"/>
    </row>
    <row r="11" spans="2:25" ht="13.5" customHeight="1" thickBot="1" x14ac:dyDescent="0.35">
      <c r="B11" s="8" t="s">
        <v>7</v>
      </c>
      <c r="C11" s="19"/>
      <c r="D11" s="38"/>
      <c r="E11" s="38"/>
      <c r="F11" s="38"/>
      <c r="G11" s="38"/>
      <c r="H11" s="39"/>
      <c r="I11" s="40"/>
      <c r="K11" s="55">
        <f>SUM(L11:O11)</f>
        <v>1306.1641484968609</v>
      </c>
      <c r="L11" s="67"/>
      <c r="M11" s="67"/>
      <c r="N11" s="68"/>
      <c r="O11" s="43">
        <v>1306.1641484968609</v>
      </c>
      <c r="P11" s="44">
        <v>157.79999999999973</v>
      </c>
      <c r="R11" s="74"/>
      <c r="S11" s="48"/>
      <c r="T11" s="48"/>
      <c r="U11" s="48"/>
      <c r="V11" s="48"/>
      <c r="W11" s="48"/>
      <c r="X11" s="24"/>
      <c r="Y11" s="24"/>
    </row>
    <row r="12" spans="2:25" ht="13.5" customHeight="1" x14ac:dyDescent="0.3">
      <c r="B12" s="7" t="s">
        <v>8</v>
      </c>
      <c r="C12" s="17">
        <v>11163</v>
      </c>
      <c r="D12" s="24">
        <v>11163</v>
      </c>
      <c r="H12" s="33"/>
      <c r="I12" s="34"/>
      <c r="K12" s="49">
        <f t="shared" ref="K12" si="0">SUM(L12:O12)</f>
        <v>83974.892822397844</v>
      </c>
      <c r="L12" s="41">
        <v>44809.830448468543</v>
      </c>
      <c r="M12" s="41">
        <v>37201.249653721679</v>
      </c>
      <c r="N12" s="34"/>
      <c r="O12" s="33">
        <v>1963.8127202076143</v>
      </c>
      <c r="P12" s="34"/>
      <c r="R12" s="74"/>
      <c r="S12" s="48"/>
      <c r="T12" s="48"/>
      <c r="U12" s="48"/>
      <c r="V12" s="48"/>
      <c r="W12" s="48"/>
      <c r="X12" s="24"/>
      <c r="Y12" s="24"/>
    </row>
    <row r="13" spans="2:25" ht="13.5" customHeight="1" x14ac:dyDescent="0.3">
      <c r="B13" s="7" t="s">
        <v>9</v>
      </c>
      <c r="C13" s="17">
        <f>SUM(D13:H13)</f>
        <v>96742</v>
      </c>
      <c r="D13" s="24">
        <v>96742</v>
      </c>
      <c r="H13" s="33"/>
      <c r="I13" s="34"/>
      <c r="K13" s="18"/>
      <c r="L13" s="21"/>
      <c r="M13" s="21"/>
      <c r="N13" s="16"/>
      <c r="O13" s="15"/>
      <c r="P13" s="16"/>
      <c r="R13" s="74"/>
      <c r="S13" s="48"/>
      <c r="T13" s="48"/>
      <c r="U13" s="48"/>
      <c r="V13" s="48"/>
      <c r="W13" s="48"/>
      <c r="X13" s="24"/>
      <c r="Y13" s="24"/>
    </row>
    <row r="14" spans="2:25" ht="13.5" customHeight="1" x14ac:dyDescent="0.35">
      <c r="B14" s="7" t="s">
        <v>10</v>
      </c>
      <c r="C14" s="17">
        <v>28608</v>
      </c>
      <c r="D14" s="24">
        <v>28608</v>
      </c>
      <c r="H14" s="33"/>
      <c r="I14" s="34"/>
      <c r="K14" s="18"/>
      <c r="L14" s="21"/>
      <c r="M14" s="21"/>
      <c r="N14" s="16"/>
      <c r="O14" s="15"/>
      <c r="P14" s="16"/>
      <c r="R14" s="76"/>
      <c r="S14" s="70"/>
      <c r="T14" s="70"/>
      <c r="U14" s="70"/>
      <c r="V14"/>
      <c r="W14" s="70"/>
      <c r="X14" s="24"/>
      <c r="Y14" s="24"/>
    </row>
    <row r="15" spans="2:25" ht="13.5" customHeight="1" x14ac:dyDescent="0.35">
      <c r="B15" s="7" t="s">
        <v>11</v>
      </c>
      <c r="C15" s="17"/>
      <c r="H15" s="33"/>
      <c r="I15" s="34"/>
      <c r="K15" s="18"/>
      <c r="L15" s="21"/>
      <c r="M15" s="21"/>
      <c r="N15" s="16"/>
      <c r="O15" s="15"/>
      <c r="P15" s="16"/>
      <c r="R15" s="76"/>
      <c r="S15" s="70"/>
      <c r="T15" s="70"/>
      <c r="U15" s="70"/>
      <c r="V15"/>
      <c r="W15" s="70"/>
      <c r="X15" s="24"/>
      <c r="Y15" s="24"/>
    </row>
    <row r="16" spans="2:25" ht="13.5" customHeight="1" x14ac:dyDescent="0.3">
      <c r="B16" s="7" t="s">
        <v>34</v>
      </c>
      <c r="C16" s="17"/>
      <c r="H16" s="33"/>
      <c r="I16" s="34"/>
      <c r="K16" s="18"/>
      <c r="L16" s="21"/>
      <c r="M16" s="21"/>
      <c r="N16" s="16"/>
      <c r="O16" s="15"/>
      <c r="P16" s="16"/>
      <c r="R16" s="74"/>
      <c r="S16" s="48"/>
      <c r="T16" s="48"/>
      <c r="U16" s="48"/>
      <c r="V16" s="48"/>
      <c r="W16" s="48"/>
      <c r="X16" s="24"/>
      <c r="Y16" s="24"/>
    </row>
    <row r="17" spans="2:25" ht="13.5" customHeight="1" x14ac:dyDescent="0.3">
      <c r="B17" s="7" t="s">
        <v>12</v>
      </c>
      <c r="C17" s="17"/>
      <c r="H17" s="33"/>
      <c r="I17" s="34"/>
      <c r="K17" s="18"/>
      <c r="L17" s="21"/>
      <c r="M17" s="21"/>
      <c r="N17" s="16"/>
      <c r="O17" s="15"/>
      <c r="P17" s="16"/>
      <c r="R17" s="74"/>
      <c r="S17" s="48"/>
      <c r="T17" s="48"/>
      <c r="U17" s="48"/>
      <c r="V17" s="48"/>
      <c r="W17" s="48"/>
      <c r="X17" s="24"/>
      <c r="Y17" s="24"/>
    </row>
    <row r="18" spans="2:25" ht="13.5" customHeight="1" x14ac:dyDescent="0.3">
      <c r="B18" s="7" t="s">
        <v>13</v>
      </c>
      <c r="C18" s="17"/>
      <c r="H18" s="33"/>
      <c r="I18" s="34"/>
      <c r="K18" s="18"/>
      <c r="L18" s="21"/>
      <c r="M18" s="21"/>
      <c r="N18" s="16"/>
      <c r="O18" s="15"/>
      <c r="P18" s="16"/>
      <c r="R18" s="74"/>
      <c r="S18" s="48"/>
      <c r="T18" s="48"/>
      <c r="U18" s="48"/>
      <c r="V18" s="48"/>
      <c r="W18" s="48"/>
      <c r="X18" s="24"/>
      <c r="Y18" s="24"/>
    </row>
    <row r="19" spans="2:25" ht="13.5" customHeight="1" thickBot="1" x14ac:dyDescent="0.35">
      <c r="B19" s="7" t="s">
        <v>14</v>
      </c>
      <c r="C19" s="17"/>
      <c r="H19" s="33"/>
      <c r="I19" s="34"/>
      <c r="K19" s="18"/>
      <c r="L19" s="21"/>
      <c r="M19" s="21"/>
      <c r="N19" s="16"/>
      <c r="O19" s="15"/>
      <c r="P19" s="16"/>
      <c r="R19" s="74"/>
      <c r="S19" s="48"/>
      <c r="T19" s="48"/>
      <c r="U19" s="48"/>
      <c r="V19" s="69"/>
      <c r="W19" s="48"/>
      <c r="X19" s="24"/>
      <c r="Y19" s="24"/>
    </row>
    <row r="20" spans="2:25" ht="13.5" customHeight="1" x14ac:dyDescent="0.3">
      <c r="B20" s="9" t="s">
        <v>15</v>
      </c>
      <c r="C20" s="20">
        <f>SUM(D20:H20)</f>
        <v>202036</v>
      </c>
      <c r="D20" s="58">
        <f>SUM(D21:D26)</f>
        <v>202036</v>
      </c>
      <c r="E20" s="58"/>
      <c r="F20" s="35"/>
      <c r="G20" s="35"/>
      <c r="H20" s="36">
        <f>H25</f>
        <v>0</v>
      </c>
      <c r="I20" s="37"/>
      <c r="K20" s="56">
        <f>SUM(L20:O20)</f>
        <v>244479.67598009011</v>
      </c>
      <c r="L20" s="58">
        <f t="shared" ref="L20:P20" si="1">SUM(L21:L26)</f>
        <v>61462.558517937097</v>
      </c>
      <c r="M20" s="58">
        <f t="shared" si="1"/>
        <v>24160.241229705549</v>
      </c>
      <c r="N20" s="58">
        <f t="shared" si="1"/>
        <v>157768.98310115191</v>
      </c>
      <c r="O20" s="57">
        <f t="shared" si="1"/>
        <v>1087.8931312955256</v>
      </c>
      <c r="P20" s="59">
        <f t="shared" si="1"/>
        <v>2472.2000000000003</v>
      </c>
      <c r="R20" s="74"/>
      <c r="S20" s="48"/>
      <c r="T20" s="48"/>
      <c r="U20" s="48"/>
      <c r="V20" s="48"/>
      <c r="W20" s="48"/>
      <c r="X20" s="24"/>
      <c r="Y20" s="24"/>
    </row>
    <row r="21" spans="2:25" ht="13.5" customHeight="1" x14ac:dyDescent="0.3">
      <c r="B21" s="7" t="s">
        <v>16</v>
      </c>
      <c r="C21" s="17">
        <v>139651</v>
      </c>
      <c r="D21" s="41">
        <v>139651</v>
      </c>
      <c r="E21" s="41"/>
      <c r="F21" s="41"/>
      <c r="G21" s="41"/>
      <c r="H21" s="33"/>
      <c r="I21" s="34"/>
      <c r="K21" s="49">
        <f>SUM(L21:O21)</f>
        <v>189092.3848471134</v>
      </c>
      <c r="L21" s="41">
        <v>6999.0648384050101</v>
      </c>
      <c r="M21" s="41">
        <v>24159.57177626096</v>
      </c>
      <c r="N21" s="41">
        <v>157768.98310115191</v>
      </c>
      <c r="O21" s="33">
        <v>164.76513129552561</v>
      </c>
      <c r="P21" s="34"/>
      <c r="R21" s="76"/>
      <c r="S21" s="48"/>
      <c r="T21" s="48"/>
      <c r="U21" s="48"/>
      <c r="V21" s="69"/>
      <c r="W21" s="48"/>
    </row>
    <row r="22" spans="2:25" ht="13.5" customHeight="1" x14ac:dyDescent="0.3">
      <c r="B22" s="7" t="s">
        <v>17</v>
      </c>
      <c r="C22" s="17"/>
      <c r="D22" s="41"/>
      <c r="E22" s="41"/>
      <c r="F22" s="41"/>
      <c r="G22" s="41"/>
      <c r="H22" s="33"/>
      <c r="I22" s="34"/>
      <c r="K22" s="18"/>
      <c r="L22" s="21"/>
      <c r="M22" s="21"/>
      <c r="N22" s="21"/>
      <c r="O22" s="15"/>
      <c r="P22" s="16"/>
      <c r="S22" s="24"/>
    </row>
    <row r="23" spans="2:25" ht="13.5" customHeight="1" x14ac:dyDescent="0.3">
      <c r="B23" s="7" t="s">
        <v>18</v>
      </c>
      <c r="C23" s="17"/>
      <c r="D23" s="41"/>
      <c r="E23" s="41"/>
      <c r="F23" s="41"/>
      <c r="G23" s="41"/>
      <c r="H23" s="33"/>
      <c r="I23" s="34"/>
      <c r="K23" s="18"/>
      <c r="L23" s="21"/>
      <c r="M23" s="21"/>
      <c r="N23" s="21"/>
      <c r="O23" s="15"/>
      <c r="P23" s="16"/>
      <c r="S23" s="24"/>
    </row>
    <row r="24" spans="2:25" ht="13.5" customHeight="1" x14ac:dyDescent="0.3">
      <c r="B24" s="7" t="s">
        <v>19</v>
      </c>
      <c r="C24" s="17">
        <v>3031</v>
      </c>
      <c r="D24" s="41">
        <v>3031</v>
      </c>
      <c r="E24" s="41"/>
      <c r="F24" s="41"/>
      <c r="G24" s="41"/>
      <c r="H24" s="33"/>
      <c r="I24" s="34"/>
      <c r="K24" s="49">
        <f t="shared" ref="K24:K26" si="2">SUM(L24:O24)</f>
        <v>2850.5543220814111</v>
      </c>
      <c r="L24" s="41">
        <v>2850.5543220814111</v>
      </c>
      <c r="M24" s="41"/>
      <c r="N24" s="41"/>
      <c r="O24" s="33"/>
      <c r="P24" s="34"/>
    </row>
    <row r="25" spans="2:25" ht="13.5" customHeight="1" x14ac:dyDescent="0.3">
      <c r="B25" s="7" t="s">
        <v>20</v>
      </c>
      <c r="C25" s="17">
        <v>53001</v>
      </c>
      <c r="D25" s="41">
        <v>53001</v>
      </c>
      <c r="E25" s="41"/>
      <c r="F25" s="41"/>
      <c r="G25" s="41"/>
      <c r="H25" s="33"/>
      <c r="I25" s="34"/>
      <c r="K25" s="49">
        <f t="shared" si="2"/>
        <v>46118.366002960793</v>
      </c>
      <c r="L25" s="41">
        <v>46118.366002960793</v>
      </c>
      <c r="M25" s="41"/>
      <c r="N25" s="41"/>
      <c r="O25" s="33"/>
      <c r="P25" s="34">
        <v>2472.2000000000003</v>
      </c>
    </row>
    <row r="26" spans="2:25" ht="13.5" customHeight="1" thickBot="1" x14ac:dyDescent="0.35">
      <c r="B26" s="8" t="s">
        <v>21</v>
      </c>
      <c r="C26" s="19">
        <v>6353</v>
      </c>
      <c r="D26" s="38">
        <v>6353</v>
      </c>
      <c r="E26" s="38"/>
      <c r="F26" s="38"/>
      <c r="G26" s="38"/>
      <c r="H26" s="39"/>
      <c r="I26" s="40"/>
      <c r="K26" s="50">
        <f t="shared" si="2"/>
        <v>6418.3708079344742</v>
      </c>
      <c r="L26" s="38">
        <v>5494.5733544898867</v>
      </c>
      <c r="M26" s="38">
        <v>0.66945344458814515</v>
      </c>
      <c r="N26" s="38"/>
      <c r="O26" s="39">
        <v>923.12800000000004</v>
      </c>
      <c r="P26" s="40"/>
    </row>
    <row r="27" spans="2:25" ht="13.5" customHeight="1" thickBot="1" x14ac:dyDescent="0.35">
      <c r="B27" s="10" t="s">
        <v>22</v>
      </c>
      <c r="C27" s="22"/>
      <c r="D27" s="42">
        <v>15120</v>
      </c>
      <c r="E27" s="42"/>
      <c r="F27" s="42"/>
      <c r="G27" s="42"/>
      <c r="H27" s="43"/>
      <c r="I27" s="44"/>
      <c r="L27" s="43">
        <v>14581.873807999998</v>
      </c>
      <c r="M27" s="42">
        <v>14581.873807999998</v>
      </c>
      <c r="N27" s="42">
        <v>12460</v>
      </c>
      <c r="O27" s="43">
        <v>17300</v>
      </c>
      <c r="P27" s="44">
        <v>30000</v>
      </c>
    </row>
    <row r="28" spans="2:25" ht="15" customHeight="1" x14ac:dyDescent="0.3"/>
    <row r="30" spans="2:25" x14ac:dyDescent="0.3">
      <c r="B30" s="11"/>
      <c r="C30" s="13"/>
    </row>
    <row r="33" spans="2:3" x14ac:dyDescent="0.3">
      <c r="B33" s="12"/>
    </row>
    <row r="34" spans="2:3" x14ac:dyDescent="0.3">
      <c r="B34" s="12"/>
    </row>
    <row r="35" spans="2:3" x14ac:dyDescent="0.3">
      <c r="B35" s="12"/>
    </row>
    <row r="36" spans="2:3" x14ac:dyDescent="0.3">
      <c r="B36" s="13"/>
      <c r="C36" s="13"/>
    </row>
    <row r="37" spans="2:3" x14ac:dyDescent="0.3">
      <c r="B37" s="12"/>
    </row>
    <row r="38" spans="2:3" x14ac:dyDescent="0.3">
      <c r="B38" s="6"/>
      <c r="C38" s="6"/>
    </row>
    <row r="39" spans="2:3" x14ac:dyDescent="0.3">
      <c r="B39" s="6"/>
      <c r="C39" s="6"/>
    </row>
    <row r="40" spans="2:3" x14ac:dyDescent="0.3">
      <c r="B40" s="6"/>
      <c r="C40" s="6"/>
    </row>
    <row r="41" spans="2:3" x14ac:dyDescent="0.3">
      <c r="B41" s="6"/>
      <c r="C41" s="6"/>
    </row>
    <row r="42" spans="2:3" x14ac:dyDescent="0.3">
      <c r="B42" s="6"/>
      <c r="C42" s="6"/>
    </row>
    <row r="43" spans="2:3" x14ac:dyDescent="0.3">
      <c r="B43" s="12"/>
    </row>
    <row r="44" spans="2:3" x14ac:dyDescent="0.3">
      <c r="B44" s="12"/>
    </row>
    <row r="45" spans="2:3" x14ac:dyDescent="0.3">
      <c r="B45" s="12"/>
    </row>
    <row r="46" spans="2:3" x14ac:dyDescent="0.3">
      <c r="B46" s="13"/>
      <c r="C46" s="13"/>
    </row>
    <row r="47" spans="2:3" x14ac:dyDescent="0.3">
      <c r="B47" s="14"/>
      <c r="C47" s="14"/>
    </row>
    <row r="48" spans="2:3" x14ac:dyDescent="0.3">
      <c r="B48" s="14"/>
      <c r="C48" s="14"/>
    </row>
    <row r="49" spans="2:3" x14ac:dyDescent="0.3">
      <c r="B49" s="14"/>
      <c r="C49" s="14"/>
    </row>
    <row r="50" spans="2:3" x14ac:dyDescent="0.3">
      <c r="B50" s="14"/>
      <c r="C50" s="14"/>
    </row>
    <row r="51" spans="2:3" x14ac:dyDescent="0.3">
      <c r="B51" s="14"/>
      <c r="C51" s="14"/>
    </row>
    <row r="52" spans="2:3" x14ac:dyDescent="0.3">
      <c r="B52" s="14"/>
      <c r="C52" s="14"/>
    </row>
    <row r="53" spans="2:3" x14ac:dyDescent="0.3">
      <c r="B53" s="14"/>
      <c r="C53" s="14"/>
    </row>
    <row r="54" spans="2:3" x14ac:dyDescent="0.3">
      <c r="B54" s="12"/>
    </row>
  </sheetData>
  <mergeCells count="2">
    <mergeCell ref="C2:I2"/>
    <mergeCell ref="K2:P2"/>
  </mergeCells>
  <printOptions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4"/>
  <sheetViews>
    <sheetView tabSelected="1" zoomScale="70" zoomScaleNormal="70" workbookViewId="0">
      <selection activeCell="C11" sqref="C11"/>
    </sheetView>
  </sheetViews>
  <sheetFormatPr defaultRowHeight="13" x14ac:dyDescent="0.3"/>
  <cols>
    <col min="1" max="1" width="3.26953125" style="2" customWidth="1"/>
    <col min="2" max="2" width="22.26953125" style="1" customWidth="1"/>
    <col min="3" max="3" width="7.81640625" style="12" customWidth="1"/>
    <col min="4" max="5" width="8.81640625" style="24" customWidth="1"/>
    <col min="6" max="6" width="6.81640625" style="24" customWidth="1"/>
    <col min="7" max="9" width="7.81640625" style="24" customWidth="1"/>
    <col min="10" max="10" width="2.6328125" style="2" customWidth="1"/>
    <col min="11" max="16384" width="8.7265625" style="2"/>
  </cols>
  <sheetData>
    <row r="1" spans="2:23" ht="13.5" customHeight="1" thickBot="1" x14ac:dyDescent="0.35">
      <c r="B1" s="23" t="s">
        <v>59</v>
      </c>
    </row>
    <row r="2" spans="2:23" ht="13.5" customHeight="1" thickBot="1" x14ac:dyDescent="0.35">
      <c r="C2" s="208" t="s">
        <v>43</v>
      </c>
      <c r="D2" s="209"/>
      <c r="E2" s="209"/>
      <c r="F2" s="209"/>
      <c r="G2" s="209"/>
      <c r="H2" s="209"/>
      <c r="I2" s="210"/>
      <c r="J2" s="60"/>
      <c r="K2" s="211" t="s">
        <v>76</v>
      </c>
      <c r="L2" s="212"/>
      <c r="M2" s="212"/>
      <c r="N2" s="212"/>
      <c r="O2" s="212"/>
      <c r="P2" s="213"/>
    </row>
    <row r="3" spans="2:23" ht="39.5" customHeight="1" x14ac:dyDescent="0.3">
      <c r="B3" s="3" t="s">
        <v>0</v>
      </c>
      <c r="C3" s="25" t="s">
        <v>30</v>
      </c>
      <c r="D3" s="26" t="s">
        <v>23</v>
      </c>
      <c r="E3" s="26" t="s">
        <v>24</v>
      </c>
      <c r="F3" s="26" t="s">
        <v>25</v>
      </c>
      <c r="G3" s="26" t="s">
        <v>31</v>
      </c>
      <c r="H3" s="27" t="s">
        <v>33</v>
      </c>
      <c r="I3" s="28" t="s">
        <v>27</v>
      </c>
      <c r="K3" s="25" t="s">
        <v>41</v>
      </c>
      <c r="L3" s="26" t="s">
        <v>23</v>
      </c>
      <c r="M3" s="26" t="s">
        <v>24</v>
      </c>
      <c r="N3" s="28" t="s">
        <v>25</v>
      </c>
      <c r="O3" s="27" t="s">
        <v>33</v>
      </c>
      <c r="P3" s="28" t="s">
        <v>27</v>
      </c>
    </row>
    <row r="4" spans="2:23" ht="13.5" customHeight="1" thickBot="1" x14ac:dyDescent="0.35">
      <c r="B4" s="4">
        <v>2013</v>
      </c>
      <c r="C4" s="29" t="s">
        <v>29</v>
      </c>
      <c r="D4" s="30" t="s">
        <v>29</v>
      </c>
      <c r="E4" s="30" t="s">
        <v>29</v>
      </c>
      <c r="F4" s="30" t="s">
        <v>29</v>
      </c>
      <c r="G4" s="30" t="s">
        <v>29</v>
      </c>
      <c r="H4" s="31" t="s">
        <v>29</v>
      </c>
      <c r="I4" s="32" t="s">
        <v>28</v>
      </c>
      <c r="K4" s="29" t="s">
        <v>29</v>
      </c>
      <c r="L4" s="30" t="s">
        <v>29</v>
      </c>
      <c r="M4" s="30" t="s">
        <v>29</v>
      </c>
      <c r="N4" s="32" t="s">
        <v>29</v>
      </c>
      <c r="O4" s="72" t="s">
        <v>29</v>
      </c>
      <c r="P4" s="73" t="s">
        <v>28</v>
      </c>
      <c r="U4" s="2" t="s">
        <v>80</v>
      </c>
      <c r="V4" s="2" t="s">
        <v>81</v>
      </c>
      <c r="W4" s="2" t="s">
        <v>82</v>
      </c>
    </row>
    <row r="5" spans="2:23" ht="13.5" customHeight="1" x14ac:dyDescent="0.3">
      <c r="B5" s="5" t="s">
        <v>1</v>
      </c>
      <c r="C5" s="45">
        <f>SUM(D5:H5)</f>
        <v>89274.303359999991</v>
      </c>
      <c r="D5" s="35">
        <v>88966.503360000002</v>
      </c>
      <c r="E5" s="35"/>
      <c r="F5" s="35"/>
      <c r="G5" s="35">
        <v>14.4</v>
      </c>
      <c r="H5" s="36">
        <v>293.39999999999998</v>
      </c>
      <c r="I5" s="37"/>
      <c r="K5" s="49">
        <f>SUM(L5:O5)</f>
        <v>5613.2319600000001</v>
      </c>
      <c r="L5" s="36">
        <f>V7*L$27/1000000*0.75</f>
        <v>5613.2319600000001</v>
      </c>
      <c r="M5" s="74"/>
      <c r="N5" s="74"/>
      <c r="O5" s="36">
        <f>W7*O$27/1000000</f>
        <v>0</v>
      </c>
      <c r="P5" s="37">
        <f>U7</f>
        <v>0</v>
      </c>
      <c r="T5" s="2" t="s">
        <v>79</v>
      </c>
      <c r="U5" s="24">
        <v>100</v>
      </c>
      <c r="V5" s="24">
        <v>0</v>
      </c>
      <c r="W5" s="24">
        <v>0</v>
      </c>
    </row>
    <row r="6" spans="2:23" ht="13.5" customHeight="1" x14ac:dyDescent="0.3">
      <c r="B6" s="7" t="s">
        <v>2</v>
      </c>
      <c r="C6" s="17">
        <f>SUM(D6:H6)</f>
        <v>0</v>
      </c>
      <c r="D6" s="41"/>
      <c r="E6" s="41"/>
      <c r="F6" s="41"/>
      <c r="G6" s="41"/>
      <c r="H6" s="33"/>
      <c r="I6" s="34"/>
      <c r="K6" s="49">
        <f>SUM(L6:O6)</f>
        <v>0</v>
      </c>
      <c r="L6" s="33">
        <f>V6*L$27/1000000*0.75</f>
        <v>0</v>
      </c>
      <c r="M6" s="41"/>
      <c r="N6" s="41"/>
      <c r="O6" s="33">
        <f>W6*O$27/1000000</f>
        <v>0</v>
      </c>
      <c r="P6" s="34">
        <f>U6</f>
        <v>100</v>
      </c>
      <c r="T6" s="2" t="s">
        <v>78</v>
      </c>
      <c r="U6" s="24">
        <v>100</v>
      </c>
      <c r="V6" s="24">
        <v>0</v>
      </c>
      <c r="W6" s="24">
        <v>0</v>
      </c>
    </row>
    <row r="7" spans="2:23" ht="13.5" customHeight="1" x14ac:dyDescent="0.3">
      <c r="B7" s="7" t="s">
        <v>3</v>
      </c>
      <c r="C7" s="17">
        <f t="shared" ref="C7:C8" si="0">SUM(D7:H7)</f>
        <v>1.8</v>
      </c>
      <c r="D7" s="41"/>
      <c r="E7" s="41"/>
      <c r="F7" s="41"/>
      <c r="G7" s="41"/>
      <c r="H7" s="33">
        <v>1.8</v>
      </c>
      <c r="I7" s="34"/>
      <c r="K7" s="49">
        <f>SUM(L7:O7)</f>
        <v>0</v>
      </c>
      <c r="L7" s="33">
        <f>V5*L$27/1000000*0.75</f>
        <v>0</v>
      </c>
      <c r="M7" s="41"/>
      <c r="N7" s="41"/>
      <c r="O7" s="33">
        <f>W5*O$27/1000000</f>
        <v>0</v>
      </c>
      <c r="P7" s="34">
        <f>U5</f>
        <v>100</v>
      </c>
      <c r="T7" s="2" t="s">
        <v>77</v>
      </c>
      <c r="U7" s="2">
        <v>0</v>
      </c>
      <c r="V7" s="24">
        <v>494994</v>
      </c>
      <c r="W7" s="24"/>
    </row>
    <row r="8" spans="2:23" ht="13.5" customHeight="1" x14ac:dyDescent="0.3">
      <c r="B8" s="7" t="s">
        <v>4</v>
      </c>
      <c r="C8" s="17">
        <f t="shared" si="0"/>
        <v>0.78</v>
      </c>
      <c r="D8" s="41">
        <v>0.78</v>
      </c>
      <c r="E8" s="41"/>
      <c r="F8" s="41"/>
      <c r="G8" s="41"/>
      <c r="H8" s="33"/>
      <c r="I8" s="34"/>
      <c r="K8" s="49"/>
      <c r="L8" s="21"/>
      <c r="M8" s="21"/>
      <c r="N8" s="21"/>
      <c r="O8" s="15"/>
      <c r="P8" s="16"/>
    </row>
    <row r="9" spans="2:23" ht="13.5" customHeight="1" x14ac:dyDescent="0.3">
      <c r="B9" s="7" t="s">
        <v>5</v>
      </c>
      <c r="C9" s="17"/>
      <c r="D9" s="41"/>
      <c r="E9" s="41"/>
      <c r="F9" s="41"/>
      <c r="G9" s="41"/>
      <c r="H9" s="33"/>
      <c r="I9" s="34"/>
      <c r="K9" s="49"/>
      <c r="L9" s="21"/>
      <c r="M9" s="21"/>
      <c r="N9" s="21"/>
      <c r="O9" s="15"/>
      <c r="P9" s="16"/>
    </row>
    <row r="10" spans="2:23" ht="13.5" customHeight="1" thickBot="1" x14ac:dyDescent="0.35">
      <c r="B10" s="46" t="s">
        <v>6</v>
      </c>
      <c r="C10" s="47">
        <f>SUM(D10:H10)</f>
        <v>89275.08335999999</v>
      </c>
      <c r="D10" s="61">
        <f>D5+D6-D7+D8</f>
        <v>88967.283360000001</v>
      </c>
      <c r="E10" s="61"/>
      <c r="F10" s="61"/>
      <c r="G10" s="61">
        <v>14.4</v>
      </c>
      <c r="H10" s="66">
        <f>H5</f>
        <v>293.39999999999998</v>
      </c>
      <c r="I10" s="62"/>
      <c r="K10" s="51">
        <f>SUM(L10:O10)</f>
        <v>5613.2319600000001</v>
      </c>
      <c r="L10" s="66">
        <f>L5+L6-L7</f>
        <v>5613.2319600000001</v>
      </c>
      <c r="M10" s="53"/>
      <c r="N10" s="53"/>
      <c r="O10" s="66">
        <f>O5+O6-O7</f>
        <v>0</v>
      </c>
      <c r="P10" s="62">
        <f>P5+P6-P7</f>
        <v>0</v>
      </c>
    </row>
    <row r="11" spans="2:23" ht="13.5" customHeight="1" thickBot="1" x14ac:dyDescent="0.35">
      <c r="B11" s="8" t="s">
        <v>7</v>
      </c>
      <c r="C11" s="19"/>
      <c r="D11" s="38"/>
      <c r="E11" s="38"/>
      <c r="F11" s="38"/>
      <c r="G11" s="38"/>
      <c r="H11" s="39"/>
      <c r="I11" s="40"/>
      <c r="K11" s="55">
        <f>SUM(L11:O11)</f>
        <v>0</v>
      </c>
      <c r="L11" s="67"/>
      <c r="M11" s="67"/>
      <c r="N11" s="68"/>
      <c r="O11" s="39"/>
      <c r="P11" s="40"/>
    </row>
    <row r="12" spans="2:23" ht="13.5" customHeight="1" x14ac:dyDescent="0.3">
      <c r="B12" s="7" t="s">
        <v>8</v>
      </c>
      <c r="C12" s="45"/>
      <c r="H12" s="33"/>
      <c r="I12" s="34"/>
      <c r="K12" s="49"/>
      <c r="L12" s="41"/>
      <c r="M12" s="41"/>
      <c r="N12" s="34"/>
      <c r="O12" s="33"/>
      <c r="P12" s="34"/>
    </row>
    <row r="13" spans="2:23" ht="13.5" customHeight="1" x14ac:dyDescent="0.3">
      <c r="B13" s="7" t="s">
        <v>9</v>
      </c>
      <c r="C13" s="17">
        <f>SUM(D13:H13)</f>
        <v>0</v>
      </c>
      <c r="H13" s="33"/>
      <c r="I13" s="34"/>
      <c r="K13" s="18"/>
      <c r="L13" s="21"/>
      <c r="M13" s="21"/>
      <c r="N13" s="16"/>
      <c r="O13" s="15"/>
      <c r="P13" s="16"/>
      <c r="U13" s="24"/>
      <c r="V13" s="24"/>
      <c r="W13" s="24"/>
    </row>
    <row r="14" spans="2:23" ht="13.5" customHeight="1" x14ac:dyDescent="0.3">
      <c r="B14" s="7" t="s">
        <v>10</v>
      </c>
      <c r="C14" s="17"/>
      <c r="H14" s="33"/>
      <c r="I14" s="34"/>
      <c r="K14" s="18"/>
      <c r="L14" s="21"/>
      <c r="M14" s="21"/>
      <c r="N14" s="16"/>
      <c r="O14" s="15"/>
      <c r="P14" s="16"/>
      <c r="U14" s="24"/>
      <c r="V14" s="24"/>
      <c r="W14" s="24"/>
    </row>
    <row r="15" spans="2:23" ht="13.5" customHeight="1" x14ac:dyDescent="0.3">
      <c r="B15" s="7" t="s">
        <v>11</v>
      </c>
      <c r="C15" s="17"/>
      <c r="H15" s="33"/>
      <c r="I15" s="34"/>
      <c r="K15" s="18"/>
      <c r="L15" s="21"/>
      <c r="M15" s="21"/>
      <c r="N15" s="16"/>
      <c r="O15" s="15"/>
      <c r="P15" s="16"/>
      <c r="U15" s="24"/>
      <c r="V15" s="24"/>
      <c r="W15" s="24"/>
    </row>
    <row r="16" spans="2:23" ht="13.5" customHeight="1" x14ac:dyDescent="0.3">
      <c r="B16" s="7" t="s">
        <v>34</v>
      </c>
      <c r="C16" s="17"/>
      <c r="H16" s="33"/>
      <c r="I16" s="34"/>
      <c r="K16" s="18"/>
      <c r="L16" s="21"/>
      <c r="M16" s="21"/>
      <c r="N16" s="16"/>
      <c r="O16" s="15"/>
      <c r="P16" s="16"/>
      <c r="U16" s="24"/>
      <c r="V16" s="24"/>
      <c r="W16" s="24"/>
    </row>
    <row r="17" spans="2:23" ht="13.5" customHeight="1" x14ac:dyDescent="0.3">
      <c r="B17" s="7" t="s">
        <v>12</v>
      </c>
      <c r="C17" s="17"/>
      <c r="H17" s="33"/>
      <c r="I17" s="34"/>
      <c r="K17" s="18"/>
      <c r="L17" s="21"/>
      <c r="M17" s="21"/>
      <c r="N17" s="16"/>
      <c r="O17" s="15"/>
      <c r="P17" s="16"/>
      <c r="V17" s="24"/>
      <c r="W17" s="24"/>
    </row>
    <row r="18" spans="2:23" ht="13.5" customHeight="1" x14ac:dyDescent="0.3">
      <c r="B18" s="7" t="s">
        <v>13</v>
      </c>
      <c r="C18" s="17"/>
      <c r="H18" s="33"/>
      <c r="I18" s="34"/>
      <c r="K18" s="18"/>
      <c r="L18" s="21"/>
      <c r="M18" s="21"/>
      <c r="N18" s="16"/>
      <c r="O18" s="15"/>
      <c r="P18" s="16"/>
      <c r="U18" s="24"/>
      <c r="V18" s="24"/>
      <c r="W18" s="24"/>
    </row>
    <row r="19" spans="2:23" ht="13.5" customHeight="1" thickBot="1" x14ac:dyDescent="0.35">
      <c r="B19" s="7" t="s">
        <v>14</v>
      </c>
      <c r="C19" s="17"/>
      <c r="H19" s="33"/>
      <c r="I19" s="34"/>
      <c r="K19" s="18"/>
      <c r="L19" s="21"/>
      <c r="M19" s="21"/>
      <c r="N19" s="16"/>
      <c r="O19" s="15"/>
      <c r="P19" s="16"/>
      <c r="V19" s="24"/>
    </row>
    <row r="20" spans="2:23" ht="13.5" customHeight="1" x14ac:dyDescent="0.3">
      <c r="B20" s="9" t="s">
        <v>15</v>
      </c>
      <c r="C20" s="20">
        <f>SUM(D20:H20)</f>
        <v>20131.380000000005</v>
      </c>
      <c r="D20" s="58">
        <f>SUM(D21:D26)</f>
        <v>19836.180000000004</v>
      </c>
      <c r="E20" s="58"/>
      <c r="F20" s="58"/>
      <c r="G20" s="58">
        <v>14.4</v>
      </c>
      <c r="H20" s="57">
        <f>H25</f>
        <v>280.8</v>
      </c>
      <c r="I20" s="59"/>
      <c r="K20" s="56"/>
      <c r="L20" s="58"/>
      <c r="M20" s="58"/>
      <c r="N20" s="58"/>
      <c r="O20" s="57"/>
      <c r="P20" s="59"/>
    </row>
    <row r="21" spans="2:23" ht="13.5" customHeight="1" x14ac:dyDescent="0.3">
      <c r="B21" s="7" t="s">
        <v>16</v>
      </c>
      <c r="C21" s="17">
        <f t="shared" ref="C21:C26" si="1">SUM(D21:H21)</f>
        <v>8.58</v>
      </c>
      <c r="D21" s="41">
        <v>8.58</v>
      </c>
      <c r="E21" s="41"/>
      <c r="F21" s="41"/>
      <c r="G21" s="41"/>
      <c r="H21" s="33"/>
      <c r="I21" s="34"/>
      <c r="K21" s="49"/>
      <c r="L21" s="41"/>
      <c r="M21" s="41"/>
      <c r="N21" s="41"/>
      <c r="O21" s="33"/>
      <c r="P21" s="34"/>
    </row>
    <row r="22" spans="2:23" ht="13.5" customHeight="1" x14ac:dyDescent="0.3">
      <c r="B22" s="7" t="s">
        <v>17</v>
      </c>
      <c r="C22" s="17"/>
      <c r="D22" s="41"/>
      <c r="E22" s="41"/>
      <c r="F22" s="41"/>
      <c r="G22" s="41"/>
      <c r="H22" s="33"/>
      <c r="I22" s="34"/>
      <c r="K22" s="18"/>
      <c r="L22" s="21"/>
      <c r="M22" s="21"/>
      <c r="N22" s="21"/>
      <c r="O22" s="15"/>
      <c r="P22" s="16"/>
    </row>
    <row r="23" spans="2:23" ht="13.5" customHeight="1" x14ac:dyDescent="0.3">
      <c r="B23" s="7" t="s">
        <v>18</v>
      </c>
      <c r="C23" s="17"/>
      <c r="D23" s="41"/>
      <c r="E23" s="41"/>
      <c r="F23" s="41"/>
      <c r="G23" s="41"/>
      <c r="H23" s="33"/>
      <c r="I23" s="34"/>
      <c r="K23" s="18"/>
      <c r="L23" s="21"/>
      <c r="M23" s="21"/>
      <c r="N23" s="21"/>
      <c r="O23" s="15"/>
      <c r="P23" s="16"/>
    </row>
    <row r="24" spans="2:23" ht="13.5" customHeight="1" x14ac:dyDescent="0.3">
      <c r="B24" s="7" t="s">
        <v>19</v>
      </c>
      <c r="C24" s="17">
        <f t="shared" si="1"/>
        <v>332.94</v>
      </c>
      <c r="D24" s="41">
        <v>322.14</v>
      </c>
      <c r="E24" s="41"/>
      <c r="F24" s="41"/>
      <c r="G24" s="41"/>
      <c r="H24" s="33">
        <v>10.8</v>
      </c>
      <c r="I24" s="34"/>
      <c r="K24" s="49"/>
      <c r="L24" s="41"/>
      <c r="M24" s="41"/>
      <c r="N24" s="41"/>
      <c r="O24" s="33"/>
      <c r="P24" s="34"/>
    </row>
    <row r="25" spans="2:23" ht="13.5" customHeight="1" x14ac:dyDescent="0.3">
      <c r="B25" s="7" t="s">
        <v>20</v>
      </c>
      <c r="C25" s="17">
        <f t="shared" si="1"/>
        <v>19799.100000000002</v>
      </c>
      <c r="D25" s="41">
        <v>19503.900000000001</v>
      </c>
      <c r="E25" s="41"/>
      <c r="F25" s="41"/>
      <c r="G25" s="41">
        <v>14.4</v>
      </c>
      <c r="H25" s="33">
        <v>280.8</v>
      </c>
      <c r="I25" s="34"/>
      <c r="K25" s="49"/>
      <c r="L25" s="41"/>
      <c r="M25" s="41"/>
      <c r="N25" s="41"/>
      <c r="O25" s="33"/>
      <c r="P25" s="34"/>
    </row>
    <row r="26" spans="2:23" ht="13.5" customHeight="1" thickBot="1" x14ac:dyDescent="0.35">
      <c r="B26" s="8" t="s">
        <v>21</v>
      </c>
      <c r="C26" s="17">
        <f t="shared" si="1"/>
        <v>1.56</v>
      </c>
      <c r="D26" s="38">
        <v>1.56</v>
      </c>
      <c r="E26" s="38"/>
      <c r="F26" s="38"/>
      <c r="G26" s="38"/>
      <c r="H26" s="39"/>
      <c r="I26" s="40"/>
      <c r="K26" s="50"/>
      <c r="L26" s="38"/>
      <c r="M26" s="38"/>
      <c r="N26" s="38"/>
      <c r="O26" s="39"/>
      <c r="P26" s="40"/>
    </row>
    <row r="27" spans="2:23" ht="13.5" customHeight="1" thickBot="1" x14ac:dyDescent="0.35">
      <c r="B27" s="10" t="s">
        <v>22</v>
      </c>
      <c r="C27" s="22"/>
      <c r="D27" s="42">
        <v>10400</v>
      </c>
      <c r="E27" s="42"/>
      <c r="F27" s="42"/>
      <c r="G27" s="42">
        <v>8000</v>
      </c>
      <c r="H27" s="43">
        <v>18000</v>
      </c>
      <c r="I27" s="44"/>
      <c r="L27" s="43">
        <v>15120</v>
      </c>
      <c r="M27" s="42"/>
      <c r="N27" s="42"/>
      <c r="O27" s="43">
        <v>16920</v>
      </c>
      <c r="P27" s="44"/>
    </row>
    <row r="28" spans="2:23" ht="15" customHeight="1" x14ac:dyDescent="0.3">
      <c r="D28" s="24" t="s">
        <v>64</v>
      </c>
    </row>
    <row r="29" spans="2:23" x14ac:dyDescent="0.3">
      <c r="G29" s="2"/>
      <c r="H29" s="2"/>
    </row>
    <row r="30" spans="2:23" x14ac:dyDescent="0.3">
      <c r="B30" s="11"/>
      <c r="C30" s="13"/>
      <c r="G30" s="2"/>
      <c r="H30" s="2"/>
    </row>
    <row r="31" spans="2:23" x14ac:dyDescent="0.3">
      <c r="G31" s="2"/>
      <c r="H31" s="2"/>
    </row>
    <row r="32" spans="2:23" x14ac:dyDescent="0.3">
      <c r="G32" s="2"/>
      <c r="H32" s="2"/>
    </row>
    <row r="33" spans="2:8" x14ac:dyDescent="0.3">
      <c r="B33" s="12"/>
      <c r="G33" s="2"/>
      <c r="H33" s="2"/>
    </row>
    <row r="34" spans="2:8" x14ac:dyDescent="0.3">
      <c r="B34" s="12"/>
      <c r="G34" s="2"/>
      <c r="H34" s="2"/>
    </row>
    <row r="35" spans="2:8" x14ac:dyDescent="0.3">
      <c r="B35" s="12"/>
      <c r="G35" s="2"/>
      <c r="H35" s="2"/>
    </row>
    <row r="36" spans="2:8" x14ac:dyDescent="0.3">
      <c r="B36" s="13"/>
      <c r="C36" s="13"/>
      <c r="G36" s="2"/>
      <c r="H36" s="2"/>
    </row>
    <row r="37" spans="2:8" x14ac:dyDescent="0.3">
      <c r="B37" s="12"/>
      <c r="G37" s="2"/>
      <c r="H37" s="2"/>
    </row>
    <row r="38" spans="2:8" x14ac:dyDescent="0.3">
      <c r="B38" s="6"/>
      <c r="C38" s="6"/>
      <c r="G38" s="2"/>
      <c r="H38" s="2"/>
    </row>
    <row r="39" spans="2:8" x14ac:dyDescent="0.3">
      <c r="B39" s="6"/>
      <c r="C39" s="6"/>
      <c r="G39" s="2"/>
      <c r="H39" s="2"/>
    </row>
    <row r="40" spans="2:8" x14ac:dyDescent="0.3">
      <c r="B40" s="6"/>
      <c r="C40" s="6"/>
      <c r="G40" s="2"/>
      <c r="H40" s="2"/>
    </row>
    <row r="41" spans="2:8" x14ac:dyDescent="0.3">
      <c r="B41" s="6"/>
      <c r="C41" s="6"/>
      <c r="G41" s="2"/>
      <c r="H41" s="2"/>
    </row>
    <row r="42" spans="2:8" x14ac:dyDescent="0.3">
      <c r="B42" s="6"/>
      <c r="C42" s="6"/>
      <c r="G42" s="2"/>
      <c r="H42" s="2"/>
    </row>
    <row r="43" spans="2:8" x14ac:dyDescent="0.3">
      <c r="B43" s="12"/>
      <c r="G43" s="2"/>
      <c r="H43" s="2"/>
    </row>
    <row r="44" spans="2:8" x14ac:dyDescent="0.3">
      <c r="B44" s="12"/>
      <c r="G44" s="2"/>
      <c r="H44" s="2"/>
    </row>
    <row r="45" spans="2:8" x14ac:dyDescent="0.3">
      <c r="B45" s="12"/>
      <c r="G45" s="2"/>
      <c r="H45" s="2"/>
    </row>
    <row r="46" spans="2:8" x14ac:dyDescent="0.3">
      <c r="B46" s="13"/>
      <c r="C46" s="13"/>
      <c r="G46" s="2"/>
      <c r="H46" s="2"/>
    </row>
    <row r="47" spans="2:8" x14ac:dyDescent="0.3">
      <c r="B47" s="14"/>
      <c r="C47" s="14"/>
      <c r="G47" s="2"/>
      <c r="H47" s="2"/>
    </row>
    <row r="48" spans="2:8" x14ac:dyDescent="0.3">
      <c r="B48" s="14"/>
      <c r="C48" s="14"/>
      <c r="G48" s="2"/>
      <c r="H48" s="2"/>
    </row>
    <row r="49" spans="2:8" x14ac:dyDescent="0.3">
      <c r="B49" s="14"/>
      <c r="C49" s="14"/>
      <c r="G49" s="2"/>
      <c r="H49" s="2"/>
    </row>
    <row r="50" spans="2:8" x14ac:dyDescent="0.3">
      <c r="B50" s="14"/>
      <c r="C50" s="14"/>
      <c r="G50" s="2"/>
      <c r="H50" s="2"/>
    </row>
    <row r="51" spans="2:8" x14ac:dyDescent="0.3">
      <c r="B51" s="14"/>
      <c r="C51" s="14"/>
      <c r="G51" s="2"/>
      <c r="H51" s="2"/>
    </row>
    <row r="52" spans="2:8" x14ac:dyDescent="0.3">
      <c r="B52" s="14"/>
      <c r="C52" s="14"/>
      <c r="G52" s="2"/>
      <c r="H52" s="2"/>
    </row>
    <row r="53" spans="2:8" x14ac:dyDescent="0.3">
      <c r="B53" s="14"/>
      <c r="C53" s="14"/>
      <c r="G53" s="2"/>
      <c r="H53" s="2"/>
    </row>
    <row r="54" spans="2:8" x14ac:dyDescent="0.3">
      <c r="B54" s="12"/>
    </row>
  </sheetData>
  <mergeCells count="2">
    <mergeCell ref="C2:I2"/>
    <mergeCell ref="K2:P2"/>
  </mergeCells>
  <printOptions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4"/>
  <sheetViews>
    <sheetView tabSelected="1" zoomScale="70" zoomScaleNormal="70" workbookViewId="0">
      <selection activeCell="C11" sqref="C11"/>
    </sheetView>
  </sheetViews>
  <sheetFormatPr defaultRowHeight="13" x14ac:dyDescent="0.3"/>
  <cols>
    <col min="1" max="1" width="3.26953125" style="2" customWidth="1"/>
    <col min="2" max="2" width="22.26953125" style="1" customWidth="1"/>
    <col min="3" max="3" width="7.81640625" style="12" customWidth="1"/>
    <col min="4" max="5" width="8.81640625" style="24" customWidth="1"/>
    <col min="6" max="6" width="6.81640625" style="24" customWidth="1"/>
    <col min="7" max="9" width="7.81640625" style="24" customWidth="1"/>
    <col min="10" max="10" width="2.6328125" style="2" customWidth="1"/>
    <col min="11" max="16384" width="8.7265625" style="2"/>
  </cols>
  <sheetData>
    <row r="1" spans="2:23" ht="13.5" customHeight="1" thickBot="1" x14ac:dyDescent="0.35">
      <c r="B1" s="23" t="s">
        <v>68</v>
      </c>
    </row>
    <row r="2" spans="2:23" ht="13.5" customHeight="1" thickBot="1" x14ac:dyDescent="0.35">
      <c r="C2" s="208" t="s">
        <v>43</v>
      </c>
      <c r="D2" s="209"/>
      <c r="E2" s="209"/>
      <c r="F2" s="209"/>
      <c r="G2" s="209"/>
      <c r="H2" s="209"/>
      <c r="I2" s="210"/>
      <c r="J2" s="60"/>
      <c r="K2" s="211" t="s">
        <v>76</v>
      </c>
      <c r="L2" s="212"/>
      <c r="M2" s="212"/>
      <c r="N2" s="212"/>
      <c r="O2" s="212"/>
      <c r="P2" s="213"/>
    </row>
    <row r="3" spans="2:23" ht="39.5" customHeight="1" x14ac:dyDescent="0.3">
      <c r="B3" s="3" t="s">
        <v>0</v>
      </c>
      <c r="C3" s="25" t="s">
        <v>30</v>
      </c>
      <c r="D3" s="26" t="s">
        <v>23</v>
      </c>
      <c r="E3" s="26" t="s">
        <v>24</v>
      </c>
      <c r="F3" s="26" t="s">
        <v>25</v>
      </c>
      <c r="G3" s="26" t="s">
        <v>31</v>
      </c>
      <c r="H3" s="27" t="s">
        <v>33</v>
      </c>
      <c r="I3" s="28" t="s">
        <v>27</v>
      </c>
      <c r="K3" s="25" t="s">
        <v>41</v>
      </c>
      <c r="L3" s="26" t="s">
        <v>23</v>
      </c>
      <c r="M3" s="26" t="s">
        <v>24</v>
      </c>
      <c r="N3" s="28" t="s">
        <v>25</v>
      </c>
      <c r="O3" s="27" t="s">
        <v>33</v>
      </c>
      <c r="P3" s="28" t="s">
        <v>27</v>
      </c>
    </row>
    <row r="4" spans="2:23" ht="13.5" customHeight="1" thickBot="1" x14ac:dyDescent="0.35">
      <c r="B4" s="4">
        <v>2013</v>
      </c>
      <c r="C4" s="65" t="s">
        <v>29</v>
      </c>
      <c r="D4" s="30" t="s">
        <v>29</v>
      </c>
      <c r="E4" s="30" t="s">
        <v>29</v>
      </c>
      <c r="F4" s="30" t="s">
        <v>29</v>
      </c>
      <c r="G4" s="30" t="s">
        <v>29</v>
      </c>
      <c r="H4" s="31" t="s">
        <v>29</v>
      </c>
      <c r="I4" s="32" t="s">
        <v>28</v>
      </c>
      <c r="K4" s="29" t="s">
        <v>29</v>
      </c>
      <c r="L4" s="30" t="s">
        <v>29</v>
      </c>
      <c r="M4" s="30" t="s">
        <v>29</v>
      </c>
      <c r="N4" s="32" t="s">
        <v>29</v>
      </c>
      <c r="O4" s="72" t="s">
        <v>29</v>
      </c>
      <c r="P4" s="73" t="s">
        <v>28</v>
      </c>
      <c r="U4" s="2" t="s">
        <v>80</v>
      </c>
      <c r="V4" s="2" t="s">
        <v>81</v>
      </c>
      <c r="W4" s="2" t="s">
        <v>82</v>
      </c>
    </row>
    <row r="5" spans="2:23" ht="13.5" customHeight="1" x14ac:dyDescent="0.3">
      <c r="B5" s="5" t="s">
        <v>1</v>
      </c>
      <c r="C5" s="45">
        <f>SUM(D5:H5)</f>
        <v>89016.308640000003</v>
      </c>
      <c r="D5" s="35">
        <v>88966.503360000002</v>
      </c>
      <c r="E5" s="35">
        <v>49.805280000000003</v>
      </c>
      <c r="F5" s="35"/>
      <c r="G5" s="35"/>
      <c r="H5" s="36"/>
      <c r="I5" s="37"/>
      <c r="K5" s="49">
        <f>SUM(L5:O5)</f>
        <v>2438.1000000000004</v>
      </c>
      <c r="L5" s="36">
        <f>V7*L$27/1000000*0.75</f>
        <v>2438.1000000000004</v>
      </c>
      <c r="M5" s="74"/>
      <c r="N5" s="74"/>
      <c r="O5" s="36">
        <f>W7*O$27/1000000</f>
        <v>0</v>
      </c>
      <c r="P5" s="37">
        <f>U7</f>
        <v>480</v>
      </c>
      <c r="T5" s="2" t="s">
        <v>79</v>
      </c>
      <c r="U5" s="24">
        <v>38</v>
      </c>
      <c r="V5" s="24">
        <v>0</v>
      </c>
      <c r="W5" s="24">
        <v>0</v>
      </c>
    </row>
    <row r="6" spans="2:23" ht="13.5" customHeight="1" x14ac:dyDescent="0.3">
      <c r="B6" s="7" t="s">
        <v>2</v>
      </c>
      <c r="C6" s="17">
        <f t="shared" ref="C6:C8" si="0">SUM(D6:H6)</f>
        <v>230.44391999999999</v>
      </c>
      <c r="D6" s="41">
        <v>230.202</v>
      </c>
      <c r="E6" s="41">
        <v>0.24192</v>
      </c>
      <c r="F6" s="41"/>
      <c r="G6" s="41"/>
      <c r="H6" s="33"/>
      <c r="I6" s="34"/>
      <c r="K6" s="49">
        <f>SUM(L6:O6)</f>
        <v>647.74494000000004</v>
      </c>
      <c r="L6" s="33">
        <f>V6*L$27/1000000*0.75</f>
        <v>645.32538</v>
      </c>
      <c r="M6" s="41"/>
      <c r="N6" s="41"/>
      <c r="O6" s="33">
        <f>W6*O$27/1000000</f>
        <v>2.4195600000000002</v>
      </c>
      <c r="P6" s="34">
        <f>U6</f>
        <v>1175</v>
      </c>
      <c r="T6" s="2" t="s">
        <v>78</v>
      </c>
      <c r="U6" s="24">
        <v>1175</v>
      </c>
      <c r="V6" s="24">
        <v>56907</v>
      </c>
      <c r="W6" s="24">
        <v>143</v>
      </c>
    </row>
    <row r="7" spans="2:23" ht="13.5" customHeight="1" x14ac:dyDescent="0.3">
      <c r="B7" s="7" t="s">
        <v>3</v>
      </c>
      <c r="C7" s="17">
        <f t="shared" si="0"/>
        <v>1186.2093600000001</v>
      </c>
      <c r="D7" s="41">
        <v>1186.2093600000001</v>
      </c>
      <c r="E7" s="41"/>
      <c r="F7" s="41"/>
      <c r="G7" s="41"/>
      <c r="H7" s="33"/>
      <c r="I7" s="34"/>
      <c r="K7" s="49">
        <f>SUM(L7:O7)</f>
        <v>0</v>
      </c>
      <c r="L7" s="33">
        <f>V5*L$27/1000000*0.75</f>
        <v>0</v>
      </c>
      <c r="M7" s="41"/>
      <c r="N7" s="41"/>
      <c r="O7" s="33">
        <f>W5*O$27/1000000</f>
        <v>0</v>
      </c>
      <c r="P7" s="34">
        <f>U5</f>
        <v>38</v>
      </c>
      <c r="T7" s="2" t="s">
        <v>77</v>
      </c>
      <c r="U7" s="2">
        <v>480</v>
      </c>
      <c r="V7" s="24">
        <v>215000</v>
      </c>
      <c r="W7" s="24">
        <v>0</v>
      </c>
    </row>
    <row r="8" spans="2:23" ht="13.5" customHeight="1" x14ac:dyDescent="0.3">
      <c r="B8" s="7" t="s">
        <v>4</v>
      </c>
      <c r="C8" s="17">
        <f t="shared" si="0"/>
        <v>63.825299999999999</v>
      </c>
      <c r="D8" s="41">
        <v>55.418579999999999</v>
      </c>
      <c r="E8" s="41">
        <v>8.40672</v>
      </c>
      <c r="F8" s="41"/>
      <c r="G8" s="41"/>
      <c r="H8" s="33"/>
      <c r="I8" s="34"/>
      <c r="K8" s="49"/>
      <c r="L8" s="21"/>
      <c r="M8" s="21"/>
      <c r="N8" s="21"/>
      <c r="O8" s="15"/>
      <c r="P8" s="16"/>
    </row>
    <row r="9" spans="2:23" ht="13.5" customHeight="1" x14ac:dyDescent="0.3">
      <c r="B9" s="7" t="s">
        <v>5</v>
      </c>
      <c r="C9" s="17"/>
      <c r="D9" s="41"/>
      <c r="E9" s="41"/>
      <c r="F9" s="41"/>
      <c r="G9" s="41"/>
      <c r="H9" s="33"/>
      <c r="I9" s="34"/>
      <c r="K9" s="49"/>
      <c r="L9" s="21"/>
      <c r="M9" s="21"/>
      <c r="N9" s="21"/>
      <c r="O9" s="15"/>
      <c r="P9" s="16"/>
    </row>
    <row r="10" spans="2:23" ht="13.5" customHeight="1" thickBot="1" x14ac:dyDescent="0.35">
      <c r="B10" s="46" t="s">
        <v>6</v>
      </c>
      <c r="C10" s="47">
        <f>SUM(D10:H10)</f>
        <v>88124.368500000011</v>
      </c>
      <c r="D10" s="61">
        <f>D5+D6-D7+D8</f>
        <v>88065.914580000011</v>
      </c>
      <c r="E10" s="61">
        <v>58.453919999999997</v>
      </c>
      <c r="F10" s="61"/>
      <c r="G10" s="61"/>
      <c r="H10" s="66">
        <f>H5</f>
        <v>0</v>
      </c>
      <c r="I10" s="62"/>
      <c r="K10" s="51">
        <f>SUM(L10:O10)</f>
        <v>3085.8449400000004</v>
      </c>
      <c r="L10" s="66">
        <f>L5+L6-L7</f>
        <v>3083.4253800000006</v>
      </c>
      <c r="M10" s="53"/>
      <c r="N10" s="53"/>
      <c r="O10" s="66">
        <f>O5+O6-O7</f>
        <v>2.4195600000000002</v>
      </c>
      <c r="P10" s="62">
        <f>P5+P6-P7</f>
        <v>1617</v>
      </c>
    </row>
    <row r="11" spans="2:23" ht="13.5" customHeight="1" thickBot="1" x14ac:dyDescent="0.35">
      <c r="B11" s="8" t="s">
        <v>7</v>
      </c>
      <c r="C11" s="19"/>
      <c r="D11" s="38"/>
      <c r="E11" s="38"/>
      <c r="F11" s="38"/>
      <c r="G11" s="38"/>
      <c r="H11" s="39"/>
      <c r="I11" s="40"/>
      <c r="K11" s="55">
        <f>SUM(L11:O11)</f>
        <v>0</v>
      </c>
      <c r="L11" s="67"/>
      <c r="M11" s="67"/>
      <c r="N11" s="68"/>
      <c r="O11" s="39"/>
      <c r="P11" s="40"/>
    </row>
    <row r="12" spans="2:23" ht="13.5" customHeight="1" x14ac:dyDescent="0.3">
      <c r="B12" s="7" t="s">
        <v>8</v>
      </c>
      <c r="C12" s="17"/>
      <c r="H12" s="33"/>
      <c r="I12" s="34"/>
      <c r="K12" s="49"/>
      <c r="L12" s="41"/>
      <c r="M12" s="41"/>
      <c r="N12" s="34"/>
      <c r="O12" s="33"/>
      <c r="P12" s="34"/>
    </row>
    <row r="13" spans="2:23" ht="13.5" customHeight="1" x14ac:dyDescent="0.3">
      <c r="B13" s="7" t="s">
        <v>9</v>
      </c>
      <c r="C13" s="17">
        <f>SUM(D13:H13)</f>
        <v>0</v>
      </c>
      <c r="H13" s="33"/>
      <c r="I13" s="34"/>
      <c r="K13" s="18"/>
      <c r="L13" s="21"/>
      <c r="M13" s="21"/>
      <c r="N13" s="16"/>
      <c r="O13" s="15"/>
      <c r="P13" s="16"/>
      <c r="V13" s="24"/>
      <c r="W13" s="24"/>
    </row>
    <row r="14" spans="2:23" ht="13.5" customHeight="1" x14ac:dyDescent="0.3">
      <c r="B14" s="7" t="s">
        <v>10</v>
      </c>
      <c r="C14" s="17"/>
      <c r="H14" s="33"/>
      <c r="I14" s="34"/>
      <c r="K14" s="18"/>
      <c r="L14" s="21"/>
      <c r="M14" s="21"/>
      <c r="N14" s="16"/>
      <c r="O14" s="15"/>
      <c r="P14" s="16"/>
      <c r="U14" s="24"/>
      <c r="V14" s="24"/>
      <c r="W14" s="24"/>
    </row>
    <row r="15" spans="2:23" ht="13.5" customHeight="1" x14ac:dyDescent="0.3">
      <c r="B15" s="7" t="s">
        <v>11</v>
      </c>
      <c r="C15" s="17"/>
      <c r="H15" s="33"/>
      <c r="I15" s="34"/>
      <c r="K15" s="18"/>
      <c r="L15" s="21"/>
      <c r="M15" s="21"/>
      <c r="N15" s="16"/>
      <c r="O15" s="15"/>
      <c r="P15" s="16"/>
      <c r="U15" s="24"/>
      <c r="V15" s="24"/>
      <c r="W15" s="24"/>
    </row>
    <row r="16" spans="2:23" ht="13.5" customHeight="1" x14ac:dyDescent="0.3">
      <c r="B16" s="7" t="s">
        <v>34</v>
      </c>
      <c r="C16" s="17"/>
      <c r="H16" s="33"/>
      <c r="I16" s="34"/>
      <c r="K16" s="18"/>
      <c r="L16" s="21"/>
      <c r="M16" s="21"/>
      <c r="N16" s="16"/>
      <c r="O16" s="15"/>
      <c r="P16" s="16"/>
      <c r="U16" s="24"/>
      <c r="V16" s="24"/>
      <c r="W16" s="24"/>
    </row>
    <row r="17" spans="2:23" ht="13.5" customHeight="1" x14ac:dyDescent="0.3">
      <c r="B17" s="7" t="s">
        <v>12</v>
      </c>
      <c r="C17" s="17"/>
      <c r="H17" s="33"/>
      <c r="I17" s="34"/>
      <c r="K17" s="18"/>
      <c r="L17" s="21"/>
      <c r="M17" s="21"/>
      <c r="N17" s="16"/>
      <c r="O17" s="15"/>
      <c r="P17" s="16"/>
      <c r="V17" s="24"/>
      <c r="W17" s="24"/>
    </row>
    <row r="18" spans="2:23" ht="13.5" customHeight="1" x14ac:dyDescent="0.3">
      <c r="B18" s="7" t="s">
        <v>13</v>
      </c>
      <c r="C18" s="17">
        <f t="shared" ref="C18" si="1">SUM(D18:H18)</f>
        <v>879.6816</v>
      </c>
      <c r="D18" s="24">
        <v>878.19983999999999</v>
      </c>
      <c r="E18" s="24">
        <v>1.48176</v>
      </c>
      <c r="H18" s="33"/>
      <c r="I18" s="34"/>
      <c r="K18" s="18"/>
      <c r="L18" s="21"/>
      <c r="M18" s="21"/>
      <c r="N18" s="16"/>
      <c r="O18" s="15"/>
      <c r="P18" s="16"/>
      <c r="U18" s="24"/>
      <c r="V18" s="24"/>
      <c r="W18" s="24"/>
    </row>
    <row r="19" spans="2:23" ht="13.5" customHeight="1" thickBot="1" x14ac:dyDescent="0.35">
      <c r="B19" s="7" t="s">
        <v>14</v>
      </c>
      <c r="C19" s="17"/>
      <c r="H19" s="33"/>
      <c r="I19" s="34"/>
      <c r="K19" s="18"/>
      <c r="L19" s="21"/>
      <c r="M19" s="21"/>
      <c r="N19" s="16"/>
      <c r="O19" s="15"/>
      <c r="P19" s="16"/>
      <c r="V19" s="24"/>
    </row>
    <row r="20" spans="2:23" ht="13.5" customHeight="1" x14ac:dyDescent="0.3">
      <c r="B20" s="9" t="s">
        <v>15</v>
      </c>
      <c r="C20" s="20">
        <f>SUM(D20:H20)</f>
        <v>726.22116000000005</v>
      </c>
      <c r="D20" s="58">
        <f>SUM(D21:D26)</f>
        <v>669.24900000000002</v>
      </c>
      <c r="E20" s="58">
        <v>56.972160000000002</v>
      </c>
      <c r="F20" s="58"/>
      <c r="G20" s="58"/>
      <c r="H20" s="57">
        <f>H25</f>
        <v>0</v>
      </c>
      <c r="I20" s="59"/>
      <c r="K20" s="56"/>
      <c r="L20" s="58"/>
      <c r="M20" s="58"/>
      <c r="N20" s="58"/>
      <c r="O20" s="57"/>
      <c r="P20" s="59"/>
    </row>
    <row r="21" spans="2:23" ht="13.5" customHeight="1" x14ac:dyDescent="0.3">
      <c r="B21" s="7" t="s">
        <v>16</v>
      </c>
      <c r="C21" s="17">
        <f t="shared" ref="C21" si="2">SUM(D21:H21)</f>
        <v>151.89552</v>
      </c>
      <c r="D21" s="41">
        <v>114.6096</v>
      </c>
      <c r="E21" s="41">
        <v>37.285919999999997</v>
      </c>
      <c r="F21" s="41"/>
      <c r="G21" s="41"/>
      <c r="H21" s="33"/>
      <c r="I21" s="34"/>
      <c r="K21" s="49"/>
      <c r="L21" s="41"/>
      <c r="M21" s="41"/>
      <c r="N21" s="41"/>
      <c r="O21" s="33"/>
      <c r="P21" s="34"/>
    </row>
    <row r="22" spans="2:23" ht="13.5" customHeight="1" x14ac:dyDescent="0.3">
      <c r="B22" s="7" t="s">
        <v>17</v>
      </c>
      <c r="C22" s="17"/>
      <c r="D22" s="41"/>
      <c r="E22" s="41"/>
      <c r="F22" s="41"/>
      <c r="G22" s="41"/>
      <c r="H22" s="33"/>
      <c r="I22" s="34"/>
      <c r="K22" s="18"/>
      <c r="L22" s="21"/>
      <c r="M22" s="21"/>
      <c r="N22" s="21"/>
      <c r="O22" s="15"/>
      <c r="P22" s="16"/>
    </row>
    <row r="23" spans="2:23" ht="13.5" customHeight="1" x14ac:dyDescent="0.3">
      <c r="B23" s="7" t="s">
        <v>18</v>
      </c>
      <c r="C23" s="17"/>
      <c r="D23" s="41"/>
      <c r="E23" s="41"/>
      <c r="F23" s="41"/>
      <c r="G23" s="41"/>
      <c r="H23" s="33"/>
      <c r="I23" s="34"/>
      <c r="K23" s="18"/>
      <c r="L23" s="21"/>
      <c r="M23" s="21"/>
      <c r="N23" s="21"/>
      <c r="O23" s="15"/>
      <c r="P23" s="16"/>
    </row>
    <row r="24" spans="2:23" ht="13.5" customHeight="1" x14ac:dyDescent="0.3">
      <c r="B24" s="7" t="s">
        <v>19</v>
      </c>
      <c r="C24" s="17">
        <f t="shared" ref="C24:C26" si="3">SUM(D24:H24)</f>
        <v>482.42628000000002</v>
      </c>
      <c r="D24" s="41">
        <v>480.97476</v>
      </c>
      <c r="E24" s="41">
        <v>1.4515199999999999</v>
      </c>
      <c r="F24" s="41"/>
      <c r="G24" s="41"/>
      <c r="H24" s="33"/>
      <c r="I24" s="34"/>
      <c r="K24" s="49"/>
      <c r="L24" s="41"/>
      <c r="M24" s="41"/>
      <c r="N24" s="41"/>
      <c r="O24" s="33"/>
      <c r="P24" s="34"/>
    </row>
    <row r="25" spans="2:23" ht="13.5" customHeight="1" x14ac:dyDescent="0.3">
      <c r="B25" s="7" t="s">
        <v>20</v>
      </c>
      <c r="C25" s="17">
        <f t="shared" si="3"/>
        <v>2.7102599999999999</v>
      </c>
      <c r="D25" s="41">
        <v>2.7102599999999999</v>
      </c>
      <c r="E25" s="41"/>
      <c r="F25" s="41"/>
      <c r="G25" s="41"/>
      <c r="H25" s="33"/>
      <c r="I25" s="34"/>
      <c r="K25" s="49"/>
      <c r="L25" s="41"/>
      <c r="M25" s="41"/>
      <c r="N25" s="41"/>
      <c r="O25" s="33"/>
      <c r="P25" s="34"/>
    </row>
    <row r="26" spans="2:23" ht="13.5" customHeight="1" thickBot="1" x14ac:dyDescent="0.35">
      <c r="B26" s="8" t="s">
        <v>21</v>
      </c>
      <c r="C26" s="17">
        <f t="shared" si="3"/>
        <v>89.189099999999996</v>
      </c>
      <c r="D26" s="38">
        <v>70.95438</v>
      </c>
      <c r="E26" s="38">
        <v>18.234719999999999</v>
      </c>
      <c r="F26" s="38"/>
      <c r="G26" s="38"/>
      <c r="H26" s="39"/>
      <c r="I26" s="40"/>
      <c r="K26" s="50"/>
      <c r="L26" s="38"/>
      <c r="M26" s="38"/>
      <c r="N26" s="38"/>
      <c r="O26" s="39"/>
      <c r="P26" s="40"/>
    </row>
    <row r="27" spans="2:23" ht="13.5" customHeight="1" thickBot="1" x14ac:dyDescent="0.35">
      <c r="B27" s="10" t="s">
        <v>22</v>
      </c>
      <c r="C27" s="22"/>
      <c r="D27" s="42">
        <v>10258</v>
      </c>
      <c r="E27" s="42">
        <v>10258</v>
      </c>
      <c r="F27" s="42"/>
      <c r="G27" s="42"/>
      <c r="H27" s="43"/>
      <c r="I27" s="44"/>
      <c r="L27" s="43">
        <v>15120</v>
      </c>
      <c r="M27" s="42"/>
      <c r="N27" s="42"/>
      <c r="O27" s="43">
        <v>16920</v>
      </c>
      <c r="P27" s="44"/>
    </row>
    <row r="28" spans="2:23" ht="15" customHeight="1" x14ac:dyDescent="0.3"/>
    <row r="29" spans="2:23" x14ac:dyDescent="0.3">
      <c r="G29" s="2"/>
      <c r="H29" s="2"/>
    </row>
    <row r="30" spans="2:23" x14ac:dyDescent="0.3">
      <c r="B30" s="11"/>
      <c r="C30" s="13"/>
      <c r="G30" s="2"/>
      <c r="H30" s="2"/>
    </row>
    <row r="31" spans="2:23" x14ac:dyDescent="0.3">
      <c r="D31" s="12"/>
      <c r="E31" s="12"/>
      <c r="G31" s="2"/>
      <c r="H31" s="2"/>
    </row>
    <row r="32" spans="2:23" x14ac:dyDescent="0.3">
      <c r="G32" s="2"/>
      <c r="H32" s="2"/>
    </row>
    <row r="33" spans="2:8" x14ac:dyDescent="0.3">
      <c r="B33" s="12"/>
      <c r="G33" s="2"/>
      <c r="H33" s="2"/>
    </row>
    <row r="34" spans="2:8" x14ac:dyDescent="0.3">
      <c r="B34" s="12"/>
      <c r="G34" s="2"/>
      <c r="H34" s="2"/>
    </row>
    <row r="35" spans="2:8" x14ac:dyDescent="0.3">
      <c r="B35" s="12"/>
      <c r="G35" s="2"/>
      <c r="H35" s="2"/>
    </row>
    <row r="36" spans="2:8" x14ac:dyDescent="0.3">
      <c r="B36" s="13"/>
      <c r="C36" s="13"/>
      <c r="G36" s="2"/>
      <c r="H36" s="2"/>
    </row>
    <row r="37" spans="2:8" x14ac:dyDescent="0.3">
      <c r="B37" s="12"/>
      <c r="G37" s="2"/>
      <c r="H37" s="2"/>
    </row>
    <row r="38" spans="2:8" x14ac:dyDescent="0.3">
      <c r="B38" s="6"/>
      <c r="C38" s="6"/>
      <c r="G38" s="2"/>
      <c r="H38" s="2"/>
    </row>
    <row r="39" spans="2:8" x14ac:dyDescent="0.3">
      <c r="B39" s="6"/>
      <c r="C39" s="6"/>
      <c r="G39" s="2"/>
      <c r="H39" s="2"/>
    </row>
    <row r="40" spans="2:8" x14ac:dyDescent="0.3">
      <c r="B40" s="6"/>
      <c r="C40" s="6"/>
      <c r="G40" s="2"/>
      <c r="H40" s="2"/>
    </row>
    <row r="41" spans="2:8" x14ac:dyDescent="0.3">
      <c r="B41" s="6"/>
      <c r="C41" s="6"/>
      <c r="G41" s="2"/>
      <c r="H41" s="2"/>
    </row>
    <row r="42" spans="2:8" x14ac:dyDescent="0.3">
      <c r="B42" s="6"/>
      <c r="C42" s="6"/>
      <c r="G42" s="2"/>
      <c r="H42" s="2"/>
    </row>
    <row r="43" spans="2:8" x14ac:dyDescent="0.3">
      <c r="B43" s="12"/>
      <c r="G43" s="2"/>
      <c r="H43" s="2"/>
    </row>
    <row r="44" spans="2:8" x14ac:dyDescent="0.3">
      <c r="B44" s="12"/>
      <c r="G44" s="2"/>
      <c r="H44" s="2"/>
    </row>
    <row r="45" spans="2:8" x14ac:dyDescent="0.3">
      <c r="B45" s="12"/>
      <c r="G45" s="2"/>
      <c r="H45" s="2"/>
    </row>
    <row r="46" spans="2:8" x14ac:dyDescent="0.3">
      <c r="B46" s="13"/>
      <c r="C46" s="13"/>
      <c r="G46" s="2"/>
      <c r="H46" s="2"/>
    </row>
    <row r="47" spans="2:8" x14ac:dyDescent="0.3">
      <c r="B47" s="14"/>
      <c r="C47" s="14"/>
      <c r="G47" s="2"/>
      <c r="H47" s="2"/>
    </row>
    <row r="48" spans="2:8" x14ac:dyDescent="0.3">
      <c r="B48" s="14"/>
      <c r="C48" s="14"/>
      <c r="G48" s="2"/>
      <c r="H48" s="2"/>
    </row>
    <row r="49" spans="2:8" x14ac:dyDescent="0.3">
      <c r="B49" s="14"/>
      <c r="C49" s="14"/>
      <c r="G49" s="2"/>
      <c r="H49" s="2"/>
    </row>
    <row r="50" spans="2:8" x14ac:dyDescent="0.3">
      <c r="B50" s="14"/>
      <c r="C50" s="14"/>
      <c r="G50" s="2"/>
      <c r="H50" s="2"/>
    </row>
    <row r="51" spans="2:8" x14ac:dyDescent="0.3">
      <c r="B51" s="14"/>
      <c r="C51" s="14"/>
      <c r="G51" s="2"/>
      <c r="H51" s="2"/>
    </row>
    <row r="52" spans="2:8" x14ac:dyDescent="0.3">
      <c r="B52" s="14"/>
      <c r="C52" s="14"/>
      <c r="G52" s="2"/>
      <c r="H52" s="2"/>
    </row>
    <row r="53" spans="2:8" x14ac:dyDescent="0.3">
      <c r="B53" s="14"/>
      <c r="C53" s="14"/>
      <c r="G53" s="2"/>
      <c r="H53" s="2"/>
    </row>
    <row r="54" spans="2:8" x14ac:dyDescent="0.3">
      <c r="B54" s="12"/>
    </row>
  </sheetData>
  <mergeCells count="2">
    <mergeCell ref="C2:I2"/>
    <mergeCell ref="K2:P2"/>
  </mergeCells>
  <printOptions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4"/>
  <sheetViews>
    <sheetView tabSelected="1" zoomScale="70" zoomScaleNormal="70" workbookViewId="0">
      <selection activeCell="C11" sqref="C11"/>
    </sheetView>
  </sheetViews>
  <sheetFormatPr defaultRowHeight="13" x14ac:dyDescent="0.3"/>
  <cols>
    <col min="1" max="1" width="3.26953125" style="2" customWidth="1"/>
    <col min="2" max="2" width="22.26953125" style="1" customWidth="1"/>
    <col min="3" max="3" width="7.81640625" style="12" customWidth="1"/>
    <col min="4" max="5" width="8.81640625" style="24" customWidth="1"/>
    <col min="6" max="6" width="6.81640625" style="24" customWidth="1"/>
    <col min="7" max="9" width="7.81640625" style="24" customWidth="1"/>
    <col min="10" max="10" width="2.6328125" style="2" customWidth="1"/>
    <col min="11" max="16384" width="8.7265625" style="2"/>
  </cols>
  <sheetData>
    <row r="1" spans="2:24" ht="13.5" customHeight="1" thickBot="1" x14ac:dyDescent="0.35">
      <c r="B1" s="23" t="s">
        <v>69</v>
      </c>
    </row>
    <row r="2" spans="2:24" ht="13.5" customHeight="1" thickBot="1" x14ac:dyDescent="0.35">
      <c r="C2" s="208" t="s">
        <v>43</v>
      </c>
      <c r="D2" s="209"/>
      <c r="E2" s="209"/>
      <c r="F2" s="209"/>
      <c r="G2" s="209"/>
      <c r="H2" s="209"/>
      <c r="I2" s="210"/>
      <c r="J2" s="60"/>
      <c r="K2" s="211" t="s">
        <v>76</v>
      </c>
      <c r="L2" s="212"/>
      <c r="M2" s="212"/>
      <c r="N2" s="212"/>
      <c r="O2" s="212"/>
      <c r="P2" s="213"/>
    </row>
    <row r="3" spans="2:24" ht="39.5" customHeight="1" x14ac:dyDescent="0.3">
      <c r="B3" s="3" t="s">
        <v>0</v>
      </c>
      <c r="C3" s="25" t="s">
        <v>30</v>
      </c>
      <c r="D3" s="26" t="s">
        <v>23</v>
      </c>
      <c r="E3" s="26" t="s">
        <v>24</v>
      </c>
      <c r="F3" s="26" t="s">
        <v>25</v>
      </c>
      <c r="G3" s="26" t="s">
        <v>47</v>
      </c>
      <c r="H3" s="27" t="s">
        <v>33</v>
      </c>
      <c r="I3" s="28" t="s">
        <v>27</v>
      </c>
      <c r="K3" s="25" t="s">
        <v>41</v>
      </c>
      <c r="L3" s="26" t="s">
        <v>23</v>
      </c>
      <c r="M3" s="26" t="s">
        <v>24</v>
      </c>
      <c r="N3" s="28" t="s">
        <v>25</v>
      </c>
      <c r="O3" s="27" t="s">
        <v>33</v>
      </c>
      <c r="P3" s="28" t="s">
        <v>27</v>
      </c>
    </row>
    <row r="4" spans="2:24" ht="13.5" customHeight="1" thickBot="1" x14ac:dyDescent="0.35">
      <c r="B4" s="4">
        <v>2013</v>
      </c>
      <c r="C4" s="65" t="s">
        <v>29</v>
      </c>
      <c r="D4" s="30" t="s">
        <v>29</v>
      </c>
      <c r="E4" s="30" t="s">
        <v>29</v>
      </c>
      <c r="F4" s="30" t="s">
        <v>29</v>
      </c>
      <c r="G4" s="30" t="s">
        <v>29</v>
      </c>
      <c r="H4" s="31" t="s">
        <v>29</v>
      </c>
      <c r="I4" s="32" t="s">
        <v>28</v>
      </c>
      <c r="K4" s="29" t="s">
        <v>29</v>
      </c>
      <c r="L4" s="30" t="s">
        <v>29</v>
      </c>
      <c r="M4" s="30" t="s">
        <v>29</v>
      </c>
      <c r="N4" s="32" t="s">
        <v>29</v>
      </c>
      <c r="O4" s="72" t="s">
        <v>29</v>
      </c>
      <c r="P4" s="73" t="s">
        <v>28</v>
      </c>
      <c r="U4" s="2" t="s">
        <v>80</v>
      </c>
      <c r="V4" s="2" t="s">
        <v>81</v>
      </c>
      <c r="W4" s="2" t="s">
        <v>82</v>
      </c>
    </row>
    <row r="5" spans="2:24" ht="13.5" customHeight="1" x14ac:dyDescent="0.3">
      <c r="B5" s="5" t="s">
        <v>1</v>
      </c>
      <c r="C5" s="45">
        <f>SUM(D5:H5)</f>
        <v>133732.09284</v>
      </c>
      <c r="D5" s="35">
        <v>88966.503360000002</v>
      </c>
      <c r="E5" s="35">
        <f>44707.98948-H5</f>
        <v>23523.672479999997</v>
      </c>
      <c r="F5" s="35"/>
      <c r="G5" s="35">
        <v>57.6</v>
      </c>
      <c r="H5" s="36">
        <v>21184.316999999999</v>
      </c>
      <c r="I5" s="37">
        <v>10000</v>
      </c>
      <c r="K5" s="49">
        <f>SUM(L5:O5)</f>
        <v>32764.723559999999</v>
      </c>
      <c r="L5" s="36">
        <f>V7*L$27/1000000*0.75</f>
        <v>14269.099319999999</v>
      </c>
      <c r="M5" s="74"/>
      <c r="N5" s="74"/>
      <c r="O5" s="36">
        <f>W7*O$27/1000000</f>
        <v>18495.624240000001</v>
      </c>
      <c r="P5" s="37">
        <f>U7</f>
        <v>8310</v>
      </c>
      <c r="T5" s="2" t="s">
        <v>79</v>
      </c>
      <c r="U5" s="24">
        <v>8550</v>
      </c>
      <c r="V5" s="24">
        <v>293956</v>
      </c>
      <c r="W5" s="24">
        <v>1055869</v>
      </c>
    </row>
    <row r="6" spans="2:24" ht="13.5" customHeight="1" x14ac:dyDescent="0.3">
      <c r="B6" s="7" t="s">
        <v>2</v>
      </c>
      <c r="C6" s="17">
        <f t="shared" ref="C6:C8" si="0">SUM(D6:H6)</f>
        <v>1663.6558399999999</v>
      </c>
      <c r="D6" s="41">
        <v>26.795999999999999</v>
      </c>
      <c r="E6" s="41">
        <v>889.80583999999999</v>
      </c>
      <c r="F6" s="41"/>
      <c r="G6" s="41"/>
      <c r="H6" s="33">
        <v>747.05399999999997</v>
      </c>
      <c r="I6" s="34">
        <v>2000</v>
      </c>
      <c r="K6" s="49">
        <f>SUM(L6:O6)</f>
        <v>738.71586000000002</v>
      </c>
      <c r="L6" s="33">
        <f>V6*L$27/1000000*0.75</f>
        <v>39.429180000000002</v>
      </c>
      <c r="M6" s="41"/>
      <c r="N6" s="41"/>
      <c r="O6" s="33">
        <f>W6*O$27/1000000</f>
        <v>699.28668000000005</v>
      </c>
      <c r="P6" s="34">
        <f>U6</f>
        <v>2243</v>
      </c>
      <c r="T6" s="2" t="s">
        <v>78</v>
      </c>
      <c r="U6" s="24">
        <v>2243</v>
      </c>
      <c r="V6" s="24">
        <v>3477</v>
      </c>
      <c r="W6" s="24">
        <v>41329</v>
      </c>
    </row>
    <row r="7" spans="2:24" ht="13.5" customHeight="1" x14ac:dyDescent="0.3">
      <c r="B7" s="7" t="s">
        <v>3</v>
      </c>
      <c r="C7" s="17">
        <f t="shared" si="0"/>
        <v>26442.66548</v>
      </c>
      <c r="D7" s="41">
        <v>2116.884</v>
      </c>
      <c r="E7" s="41">
        <v>4315.4064799999996</v>
      </c>
      <c r="F7" s="41"/>
      <c r="G7" s="41"/>
      <c r="H7" s="33">
        <v>20010.375</v>
      </c>
      <c r="I7" s="34">
        <v>9000</v>
      </c>
      <c r="K7" s="49">
        <f>SUM(L7:O7)</f>
        <v>21198.764519999997</v>
      </c>
      <c r="L7" s="33">
        <f>V5*L$27/1000000*0.75</f>
        <v>3333.4610399999997</v>
      </c>
      <c r="M7" s="41"/>
      <c r="N7" s="41"/>
      <c r="O7" s="33">
        <f>W5*O$27/1000000</f>
        <v>17865.303479999999</v>
      </c>
      <c r="P7" s="34">
        <f>U5</f>
        <v>8550</v>
      </c>
      <c r="T7" s="2" t="s">
        <v>77</v>
      </c>
      <c r="U7" s="2">
        <v>8310</v>
      </c>
      <c r="V7" s="24">
        <v>1258298</v>
      </c>
      <c r="W7" s="24">
        <v>1093122</v>
      </c>
    </row>
    <row r="8" spans="2:24" ht="13.5" customHeight="1" x14ac:dyDescent="0.3">
      <c r="B8" s="7" t="s">
        <v>4</v>
      </c>
      <c r="C8" s="17">
        <f t="shared" si="0"/>
        <v>4825.0602400000007</v>
      </c>
      <c r="D8" s="41">
        <v>2532.2220000000002</v>
      </c>
      <c r="E8" s="41">
        <v>2043.82024</v>
      </c>
      <c r="F8" s="41"/>
      <c r="G8" s="41"/>
      <c r="H8" s="33">
        <v>249.018</v>
      </c>
      <c r="I8" s="34"/>
      <c r="K8" s="49"/>
      <c r="L8" s="21"/>
      <c r="M8" s="21"/>
      <c r="N8" s="21"/>
      <c r="O8" s="15"/>
      <c r="P8" s="16"/>
    </row>
    <row r="9" spans="2:24" ht="13.5" customHeight="1" x14ac:dyDescent="0.3">
      <c r="B9" s="7" t="s">
        <v>5</v>
      </c>
      <c r="C9" s="17"/>
      <c r="D9" s="41"/>
      <c r="E9" s="41"/>
      <c r="F9" s="41"/>
      <c r="G9" s="41"/>
      <c r="H9" s="33"/>
      <c r="I9" s="34"/>
      <c r="K9" s="49"/>
      <c r="L9" s="21"/>
      <c r="M9" s="21"/>
      <c r="N9" s="21"/>
      <c r="O9" s="15"/>
      <c r="P9" s="16"/>
    </row>
    <row r="10" spans="2:24" ht="13.5" customHeight="1" thickBot="1" x14ac:dyDescent="0.35">
      <c r="B10" s="46" t="s">
        <v>6</v>
      </c>
      <c r="C10" s="47">
        <f>SUM(D10:H10)</f>
        <v>132792.44644</v>
      </c>
      <c r="D10" s="61">
        <f>D5+D6-D7+D8</f>
        <v>89408.637359999993</v>
      </c>
      <c r="E10" s="61">
        <f>43326.20908-H5</f>
        <v>22141.892080000001</v>
      </c>
      <c r="F10" s="61"/>
      <c r="G10" s="61">
        <v>57.6</v>
      </c>
      <c r="H10" s="66">
        <f>H5</f>
        <v>21184.316999999999</v>
      </c>
      <c r="I10" s="62">
        <v>3000</v>
      </c>
      <c r="K10" s="51">
        <f>SUM(L10:O10)</f>
        <v>12304.674900000002</v>
      </c>
      <c r="L10" s="66">
        <f>L5+L6-L7</f>
        <v>10975.067459999998</v>
      </c>
      <c r="M10" s="53"/>
      <c r="N10" s="53"/>
      <c r="O10" s="66">
        <f>O5+O6-O7</f>
        <v>1329.6074400000034</v>
      </c>
      <c r="P10" s="62">
        <f>P5+P6-P7</f>
        <v>2003</v>
      </c>
    </row>
    <row r="11" spans="2:24" ht="13.5" customHeight="1" thickBot="1" x14ac:dyDescent="0.35">
      <c r="B11" s="8" t="s">
        <v>7</v>
      </c>
      <c r="C11" s="19"/>
      <c r="D11" s="38"/>
      <c r="E11" s="38"/>
      <c r="F11" s="38"/>
      <c r="G11" s="38"/>
      <c r="H11" s="39"/>
      <c r="I11" s="40"/>
      <c r="K11" s="55">
        <f>SUM(L11:O11)</f>
        <v>0</v>
      </c>
      <c r="L11" s="67"/>
      <c r="M11" s="67"/>
      <c r="N11" s="68"/>
      <c r="O11" s="39"/>
      <c r="P11" s="40"/>
    </row>
    <row r="12" spans="2:24" ht="13.5" customHeight="1" x14ac:dyDescent="0.3">
      <c r="B12" s="7" t="s">
        <v>8</v>
      </c>
      <c r="C12" s="17">
        <f t="shared" ref="C12:C15" si="1">SUM(D12:H12)</f>
        <v>142.29599999999999</v>
      </c>
      <c r="H12" s="33">
        <v>142.29599999999999</v>
      </c>
      <c r="I12" s="34"/>
      <c r="K12" s="49"/>
      <c r="L12" s="41"/>
      <c r="M12" s="41"/>
      <c r="N12" s="34"/>
      <c r="O12" s="33"/>
      <c r="P12" s="34"/>
    </row>
    <row r="13" spans="2:24" ht="13.5" customHeight="1" x14ac:dyDescent="0.3">
      <c r="B13" s="7" t="s">
        <v>9</v>
      </c>
      <c r="C13" s="17">
        <f>SUM(D13:H13)</f>
        <v>4585.6887999999999</v>
      </c>
      <c r="E13" s="24">
        <v>4585.6887999999999</v>
      </c>
      <c r="H13" s="33"/>
      <c r="I13" s="34"/>
      <c r="K13" s="18"/>
      <c r="L13" s="21"/>
      <c r="M13" s="21"/>
      <c r="N13" s="16"/>
      <c r="O13" s="15"/>
      <c r="P13" s="16"/>
      <c r="V13" s="24"/>
      <c r="W13" s="24"/>
      <c r="X13" s="24"/>
    </row>
    <row r="14" spans="2:24" ht="13.5" customHeight="1" x14ac:dyDescent="0.3">
      <c r="B14" s="7" t="s">
        <v>10</v>
      </c>
      <c r="C14" s="17">
        <f t="shared" si="1"/>
        <v>5474.4340400000001</v>
      </c>
      <c r="D14" s="24">
        <v>777.08399999999995</v>
      </c>
      <c r="E14" s="24">
        <v>4579.6150399999997</v>
      </c>
      <c r="G14" s="24">
        <v>28.8</v>
      </c>
      <c r="H14" s="33">
        <v>88.935000000000002</v>
      </c>
      <c r="I14" s="34"/>
      <c r="K14" s="18"/>
      <c r="L14" s="21"/>
      <c r="M14" s="21"/>
      <c r="N14" s="16"/>
      <c r="O14" s="15"/>
      <c r="P14" s="16"/>
      <c r="U14" s="24"/>
      <c r="V14" s="24"/>
      <c r="W14" s="24"/>
      <c r="X14" s="24"/>
    </row>
    <row r="15" spans="2:24" ht="13.5" customHeight="1" x14ac:dyDescent="0.3">
      <c r="B15" s="7" t="s">
        <v>11</v>
      </c>
      <c r="C15" s="17">
        <f t="shared" si="1"/>
        <v>596.2109999999999</v>
      </c>
      <c r="D15" s="24">
        <v>596.2109999999999</v>
      </c>
      <c r="H15" s="33"/>
      <c r="I15" s="34"/>
      <c r="K15" s="18"/>
      <c r="L15" s="21"/>
      <c r="M15" s="21"/>
      <c r="N15" s="16"/>
      <c r="O15" s="15"/>
      <c r="P15" s="16"/>
      <c r="U15" s="24"/>
      <c r="V15" s="24"/>
      <c r="W15" s="24"/>
      <c r="X15" s="24"/>
    </row>
    <row r="16" spans="2:24" ht="13.5" customHeight="1" x14ac:dyDescent="0.3">
      <c r="B16" s="7" t="s">
        <v>34</v>
      </c>
      <c r="C16" s="17"/>
      <c r="H16" s="33"/>
      <c r="I16" s="34"/>
      <c r="K16" s="18"/>
      <c r="L16" s="21"/>
      <c r="M16" s="21"/>
      <c r="N16" s="16"/>
      <c r="O16" s="15"/>
      <c r="P16" s="16"/>
      <c r="U16" s="24"/>
      <c r="V16" s="24"/>
      <c r="W16" s="24"/>
    </row>
    <row r="17" spans="2:23" ht="13.5" customHeight="1" x14ac:dyDescent="0.3">
      <c r="B17" s="7" t="s">
        <v>12</v>
      </c>
      <c r="C17" s="17"/>
      <c r="H17" s="33"/>
      <c r="I17" s="34"/>
      <c r="K17" s="18"/>
      <c r="L17" s="21"/>
      <c r="M17" s="21"/>
      <c r="N17" s="16"/>
      <c r="O17" s="15"/>
      <c r="P17" s="16"/>
      <c r="V17" s="24"/>
      <c r="W17" s="24"/>
    </row>
    <row r="18" spans="2:23" ht="13.5" customHeight="1" x14ac:dyDescent="0.3">
      <c r="B18" s="7" t="s">
        <v>13</v>
      </c>
      <c r="C18" s="17"/>
      <c r="H18" s="33"/>
      <c r="I18" s="34"/>
      <c r="K18" s="18"/>
      <c r="L18" s="21"/>
      <c r="M18" s="21"/>
      <c r="N18" s="16"/>
      <c r="O18" s="15"/>
      <c r="P18" s="16"/>
      <c r="U18" s="24"/>
      <c r="V18" s="24"/>
      <c r="W18" s="24"/>
    </row>
    <row r="19" spans="2:23" ht="13.5" customHeight="1" thickBot="1" x14ac:dyDescent="0.35">
      <c r="B19" s="7" t="s">
        <v>14</v>
      </c>
      <c r="C19" s="17"/>
      <c r="H19" s="33"/>
      <c r="I19" s="34"/>
      <c r="K19" s="18"/>
      <c r="L19" s="21"/>
      <c r="M19" s="21"/>
      <c r="N19" s="16"/>
      <c r="O19" s="15"/>
      <c r="P19" s="16"/>
      <c r="V19" s="24"/>
    </row>
    <row r="20" spans="2:23" ht="13.5" customHeight="1" x14ac:dyDescent="0.3">
      <c r="B20" s="9" t="s">
        <v>15</v>
      </c>
      <c r="C20" s="20">
        <f>SUM(D20:H20)</f>
        <v>41456.503240000005</v>
      </c>
      <c r="D20" s="58">
        <f>SUM(D21:D26)</f>
        <v>27010.368000000002</v>
      </c>
      <c r="E20" s="58">
        <v>12976.588239999999</v>
      </c>
      <c r="F20" s="58"/>
      <c r="G20" s="58">
        <v>28.8</v>
      </c>
      <c r="H20" s="57">
        <f>H25</f>
        <v>1440.7470000000001</v>
      </c>
      <c r="I20" s="59">
        <v>3000</v>
      </c>
      <c r="K20" s="56"/>
      <c r="L20" s="58"/>
      <c r="M20" s="58"/>
      <c r="N20" s="58"/>
      <c r="O20" s="57"/>
      <c r="P20" s="59"/>
    </row>
    <row r="21" spans="2:23" ht="13.5" customHeight="1" x14ac:dyDescent="0.3">
      <c r="B21" s="7" t="s">
        <v>16</v>
      </c>
      <c r="C21" s="17">
        <f t="shared" ref="C21" si="2">SUM(D21:H21)</f>
        <v>13435.535960000001</v>
      </c>
      <c r="D21" s="41">
        <v>1835.5260000000001</v>
      </c>
      <c r="E21" s="41">
        <v>11439.926960000001</v>
      </c>
      <c r="F21" s="41"/>
      <c r="G21" s="41"/>
      <c r="H21" s="33">
        <v>160.083</v>
      </c>
      <c r="I21" s="34"/>
      <c r="K21" s="49"/>
      <c r="L21" s="41"/>
      <c r="M21" s="41"/>
      <c r="N21" s="41"/>
      <c r="O21" s="33"/>
      <c r="P21" s="34"/>
    </row>
    <row r="22" spans="2:23" ht="13.5" customHeight="1" x14ac:dyDescent="0.3">
      <c r="B22" s="7" t="s">
        <v>17</v>
      </c>
      <c r="C22" s="17"/>
      <c r="D22" s="41"/>
      <c r="E22" s="41"/>
      <c r="F22" s="41"/>
      <c r="G22" s="41"/>
      <c r="H22" s="33"/>
      <c r="I22" s="34"/>
      <c r="K22" s="18"/>
      <c r="L22" s="21"/>
      <c r="M22" s="21"/>
      <c r="N22" s="21"/>
      <c r="O22" s="15"/>
      <c r="P22" s="16"/>
    </row>
    <row r="23" spans="2:23" ht="13.5" customHeight="1" x14ac:dyDescent="0.3">
      <c r="B23" s="7" t="s">
        <v>18</v>
      </c>
      <c r="C23" s="17"/>
      <c r="D23" s="41"/>
      <c r="E23" s="41"/>
      <c r="F23" s="41"/>
      <c r="G23" s="41"/>
      <c r="H23" s="33"/>
      <c r="I23" s="34"/>
      <c r="K23" s="18"/>
      <c r="L23" s="21"/>
      <c r="M23" s="21"/>
      <c r="N23" s="21"/>
      <c r="O23" s="15"/>
      <c r="P23" s="16"/>
    </row>
    <row r="24" spans="2:23" ht="13.5" customHeight="1" x14ac:dyDescent="0.3">
      <c r="B24" s="7" t="s">
        <v>19</v>
      </c>
      <c r="C24" s="17">
        <f t="shared" ref="C24:C26" si="3">SUM(D24:H24)</f>
        <v>3843.9488000000001</v>
      </c>
      <c r="D24" s="41">
        <v>2947.56</v>
      </c>
      <c r="E24" s="41">
        <v>561.82280000000003</v>
      </c>
      <c r="F24" s="41"/>
      <c r="G24" s="41">
        <v>14.4</v>
      </c>
      <c r="H24" s="33">
        <v>320.166</v>
      </c>
      <c r="I24" s="34"/>
      <c r="K24" s="49"/>
      <c r="L24" s="41"/>
      <c r="M24" s="41"/>
      <c r="N24" s="41"/>
      <c r="O24" s="33"/>
      <c r="P24" s="34"/>
    </row>
    <row r="25" spans="2:23" ht="13.5" customHeight="1" x14ac:dyDescent="0.3">
      <c r="B25" s="7" t="s">
        <v>20</v>
      </c>
      <c r="C25" s="17">
        <f t="shared" si="3"/>
        <v>24212.523720000001</v>
      </c>
      <c r="D25" s="41">
        <v>21878.934000000001</v>
      </c>
      <c r="E25" s="41">
        <v>892.84271999999999</v>
      </c>
      <c r="F25" s="41"/>
      <c r="G25" s="41"/>
      <c r="H25" s="33">
        <v>1440.7470000000001</v>
      </c>
      <c r="I25" s="34">
        <v>3000</v>
      </c>
      <c r="K25" s="49"/>
      <c r="L25" s="41"/>
      <c r="M25" s="41"/>
      <c r="N25" s="41"/>
      <c r="O25" s="33"/>
      <c r="P25" s="34"/>
    </row>
    <row r="26" spans="2:23" ht="13.5" customHeight="1" thickBot="1" x14ac:dyDescent="0.35">
      <c r="B26" s="8" t="s">
        <v>21</v>
      </c>
      <c r="C26" s="17">
        <f t="shared" si="3"/>
        <v>462.53075999999999</v>
      </c>
      <c r="D26" s="38">
        <v>348.34800000000001</v>
      </c>
      <c r="E26" s="38">
        <v>81.995760000000004</v>
      </c>
      <c r="F26" s="38"/>
      <c r="G26" s="38">
        <v>14.4</v>
      </c>
      <c r="H26" s="39">
        <v>17.786999999999999</v>
      </c>
      <c r="I26" s="40"/>
      <c r="K26" s="50"/>
      <c r="L26" s="38"/>
      <c r="M26" s="38"/>
      <c r="N26" s="38"/>
      <c r="O26" s="39"/>
      <c r="P26" s="40"/>
    </row>
    <row r="27" spans="2:23" ht="13.5" customHeight="1" thickBot="1" x14ac:dyDescent="0.35">
      <c r="B27" s="10" t="s">
        <v>22</v>
      </c>
      <c r="C27" s="22"/>
      <c r="D27" s="42">
        <v>91.584900000000005</v>
      </c>
      <c r="E27" s="42">
        <v>117.635716</v>
      </c>
      <c r="F27" s="42"/>
      <c r="G27" s="42">
        <v>207.36</v>
      </c>
      <c r="H27" s="43">
        <v>316.37736899999999</v>
      </c>
      <c r="I27" s="44">
        <v>30000</v>
      </c>
      <c r="L27" s="43">
        <v>15120</v>
      </c>
      <c r="M27" s="42"/>
      <c r="N27" s="42"/>
      <c r="O27" s="43">
        <v>16920</v>
      </c>
      <c r="P27" s="44"/>
    </row>
    <row r="28" spans="2:23" ht="15" customHeight="1" x14ac:dyDescent="0.3"/>
    <row r="29" spans="2:23" x14ac:dyDescent="0.3">
      <c r="G29" s="2"/>
      <c r="H29" s="2"/>
    </row>
    <row r="30" spans="2:23" x14ac:dyDescent="0.3">
      <c r="B30" s="11"/>
      <c r="C30" s="13"/>
      <c r="G30" s="2"/>
      <c r="H30" s="2"/>
    </row>
    <row r="31" spans="2:23" x14ac:dyDescent="0.3">
      <c r="D31" s="12"/>
      <c r="E31" s="12"/>
      <c r="G31" s="2"/>
      <c r="H31" s="2"/>
    </row>
    <row r="32" spans="2:23" x14ac:dyDescent="0.3">
      <c r="G32" s="2"/>
      <c r="H32" s="2"/>
    </row>
    <row r="33" spans="2:8" x14ac:dyDescent="0.3">
      <c r="B33" s="12"/>
      <c r="G33" s="2"/>
      <c r="H33" s="2"/>
    </row>
    <row r="34" spans="2:8" x14ac:dyDescent="0.3">
      <c r="B34" s="12"/>
      <c r="G34" s="2"/>
      <c r="H34" s="2"/>
    </row>
    <row r="35" spans="2:8" x14ac:dyDescent="0.3">
      <c r="B35" s="12"/>
      <c r="G35" s="2"/>
      <c r="H35" s="2"/>
    </row>
    <row r="36" spans="2:8" x14ac:dyDescent="0.3">
      <c r="B36" s="13"/>
      <c r="C36" s="13"/>
      <c r="G36" s="2"/>
      <c r="H36" s="2"/>
    </row>
    <row r="37" spans="2:8" x14ac:dyDescent="0.3">
      <c r="B37" s="12"/>
      <c r="G37" s="2"/>
      <c r="H37" s="2"/>
    </row>
    <row r="38" spans="2:8" x14ac:dyDescent="0.3">
      <c r="B38" s="6"/>
      <c r="C38" s="6"/>
      <c r="G38" s="2"/>
      <c r="H38" s="2"/>
    </row>
    <row r="39" spans="2:8" x14ac:dyDescent="0.3">
      <c r="B39" s="6"/>
      <c r="C39" s="6"/>
      <c r="G39" s="2"/>
      <c r="H39" s="2"/>
    </row>
    <row r="40" spans="2:8" x14ac:dyDescent="0.3">
      <c r="B40" s="6"/>
      <c r="C40" s="6"/>
      <c r="G40" s="2"/>
      <c r="H40" s="2"/>
    </row>
    <row r="41" spans="2:8" x14ac:dyDescent="0.3">
      <c r="B41" s="6"/>
      <c r="C41" s="6"/>
      <c r="G41" s="2"/>
      <c r="H41" s="2"/>
    </row>
    <row r="42" spans="2:8" x14ac:dyDescent="0.3">
      <c r="B42" s="6"/>
      <c r="C42" s="6"/>
      <c r="G42" s="2"/>
      <c r="H42" s="2"/>
    </row>
    <row r="43" spans="2:8" x14ac:dyDescent="0.3">
      <c r="B43" s="12"/>
      <c r="G43" s="2"/>
      <c r="H43" s="2"/>
    </row>
    <row r="44" spans="2:8" x14ac:dyDescent="0.3">
      <c r="B44" s="12"/>
      <c r="G44" s="2"/>
      <c r="H44" s="2"/>
    </row>
    <row r="45" spans="2:8" x14ac:dyDescent="0.3">
      <c r="B45" s="12"/>
      <c r="G45" s="2"/>
      <c r="H45" s="2"/>
    </row>
    <row r="46" spans="2:8" x14ac:dyDescent="0.3">
      <c r="B46" s="13"/>
      <c r="C46" s="13"/>
      <c r="G46" s="2"/>
      <c r="H46" s="2"/>
    </row>
    <row r="47" spans="2:8" x14ac:dyDescent="0.3">
      <c r="B47" s="14"/>
      <c r="C47" s="14"/>
      <c r="G47" s="2"/>
      <c r="H47" s="2"/>
    </row>
    <row r="48" spans="2:8" x14ac:dyDescent="0.3">
      <c r="B48" s="14"/>
      <c r="C48" s="14"/>
      <c r="G48" s="2"/>
      <c r="H48" s="2"/>
    </row>
    <row r="49" spans="2:8" x14ac:dyDescent="0.3">
      <c r="B49" s="14"/>
      <c r="C49" s="14"/>
      <c r="G49" s="2"/>
      <c r="H49" s="2"/>
    </row>
    <row r="50" spans="2:8" x14ac:dyDescent="0.3">
      <c r="B50" s="14"/>
      <c r="C50" s="14"/>
      <c r="G50" s="2"/>
      <c r="H50" s="2"/>
    </row>
    <row r="51" spans="2:8" x14ac:dyDescent="0.3">
      <c r="B51" s="14"/>
      <c r="C51" s="14"/>
      <c r="G51" s="2"/>
      <c r="H51" s="2"/>
    </row>
    <row r="52" spans="2:8" x14ac:dyDescent="0.3">
      <c r="B52" s="14"/>
      <c r="C52" s="14"/>
      <c r="G52" s="2"/>
      <c r="H52" s="2"/>
    </row>
    <row r="53" spans="2:8" x14ac:dyDescent="0.3">
      <c r="B53" s="14"/>
      <c r="C53" s="14"/>
      <c r="G53" s="2"/>
      <c r="H53" s="2"/>
    </row>
    <row r="54" spans="2:8" x14ac:dyDescent="0.3">
      <c r="B54" s="12"/>
    </row>
  </sheetData>
  <mergeCells count="2">
    <mergeCell ref="C2:I2"/>
    <mergeCell ref="K2:P2"/>
  </mergeCells>
  <printOptions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4"/>
  <sheetViews>
    <sheetView tabSelected="1" zoomScale="70" zoomScaleNormal="70" workbookViewId="0">
      <selection activeCell="C11" sqref="C11"/>
    </sheetView>
  </sheetViews>
  <sheetFormatPr defaultRowHeight="13" x14ac:dyDescent="0.3"/>
  <cols>
    <col min="1" max="1" width="3.26953125" style="2" customWidth="1"/>
    <col min="2" max="2" width="22.26953125" style="1" customWidth="1"/>
    <col min="3" max="3" width="7.81640625" style="12" customWidth="1"/>
    <col min="4" max="4" width="8.81640625" style="24" customWidth="1"/>
    <col min="5" max="6" width="6.81640625" style="24" customWidth="1"/>
    <col min="7" max="9" width="7.81640625" style="24" customWidth="1"/>
    <col min="10" max="10" width="2.453125" style="2" customWidth="1"/>
    <col min="11" max="16384" width="8.7265625" style="2"/>
  </cols>
  <sheetData>
    <row r="1" spans="2:24" ht="13.5" customHeight="1" thickBot="1" x14ac:dyDescent="0.35">
      <c r="B1" s="23" t="s">
        <v>48</v>
      </c>
    </row>
    <row r="2" spans="2:24" ht="13.5" customHeight="1" thickBot="1" x14ac:dyDescent="0.35">
      <c r="C2" s="208" t="s">
        <v>45</v>
      </c>
      <c r="D2" s="209"/>
      <c r="E2" s="209"/>
      <c r="F2" s="209"/>
      <c r="G2" s="209"/>
      <c r="H2" s="209"/>
      <c r="I2" s="210"/>
      <c r="K2" s="211" t="s">
        <v>76</v>
      </c>
      <c r="L2" s="212"/>
      <c r="M2" s="212"/>
      <c r="N2" s="212"/>
      <c r="O2" s="212"/>
      <c r="P2" s="213"/>
    </row>
    <row r="3" spans="2:24" ht="39.5" customHeight="1" x14ac:dyDescent="0.3">
      <c r="B3" s="3" t="s">
        <v>0</v>
      </c>
      <c r="C3" s="25" t="s">
        <v>30</v>
      </c>
      <c r="D3" s="26" t="s">
        <v>23</v>
      </c>
      <c r="E3" s="26" t="s">
        <v>25</v>
      </c>
      <c r="F3" s="26" t="s">
        <v>25</v>
      </c>
      <c r="G3" s="26" t="s">
        <v>47</v>
      </c>
      <c r="H3" s="27" t="s">
        <v>33</v>
      </c>
      <c r="I3" s="28" t="s">
        <v>27</v>
      </c>
      <c r="K3" s="25" t="s">
        <v>41</v>
      </c>
      <c r="L3" s="26" t="s">
        <v>23</v>
      </c>
      <c r="M3" s="26" t="s">
        <v>24</v>
      </c>
      <c r="N3" s="28" t="s">
        <v>25</v>
      </c>
      <c r="O3" s="27" t="s">
        <v>33</v>
      </c>
      <c r="P3" s="28" t="s">
        <v>27</v>
      </c>
    </row>
    <row r="4" spans="2:24" ht="13.5" customHeight="1" thickBot="1" x14ac:dyDescent="0.35">
      <c r="B4" s="4">
        <v>2013</v>
      </c>
      <c r="C4" s="29" t="s">
        <v>29</v>
      </c>
      <c r="D4" s="30" t="s">
        <v>29</v>
      </c>
      <c r="E4" s="30" t="s">
        <v>29</v>
      </c>
      <c r="F4" s="30" t="s">
        <v>29</v>
      </c>
      <c r="G4" s="30" t="s">
        <v>29</v>
      </c>
      <c r="H4" s="31" t="s">
        <v>29</v>
      </c>
      <c r="I4" s="32" t="s">
        <v>28</v>
      </c>
      <c r="K4" s="29" t="s">
        <v>29</v>
      </c>
      <c r="L4" s="30" t="s">
        <v>29</v>
      </c>
      <c r="M4" s="30" t="s">
        <v>29</v>
      </c>
      <c r="N4" s="32" t="s">
        <v>29</v>
      </c>
      <c r="O4" s="72" t="s">
        <v>29</v>
      </c>
      <c r="P4" s="73" t="s">
        <v>28</v>
      </c>
      <c r="U4" s="2" t="s">
        <v>80</v>
      </c>
      <c r="V4" s="2" t="s">
        <v>81</v>
      </c>
      <c r="W4" s="2" t="s">
        <v>82</v>
      </c>
    </row>
    <row r="5" spans="2:24" ht="13.5" customHeight="1" x14ac:dyDescent="0.3">
      <c r="B5" s="5" t="s">
        <v>1</v>
      </c>
      <c r="C5" s="45">
        <f>SUM(D5:G5)</f>
        <v>89205.298360000001</v>
      </c>
      <c r="D5" s="35">
        <v>88966.503360000002</v>
      </c>
      <c r="E5" s="35"/>
      <c r="F5" s="35"/>
      <c r="G5" s="35">
        <v>238.79499999999999</v>
      </c>
      <c r="H5" s="36"/>
      <c r="I5" s="37">
        <v>1000</v>
      </c>
      <c r="K5" s="49">
        <f>SUM(L5:O5)</f>
        <v>32457.420000000002</v>
      </c>
      <c r="L5" s="36">
        <f>V7*L$27/1000000*0.75</f>
        <v>27567.54</v>
      </c>
      <c r="M5" s="74"/>
      <c r="N5" s="74"/>
      <c r="O5" s="36">
        <f>W7*O$27/1000000</f>
        <v>4889.88</v>
      </c>
      <c r="P5" s="37">
        <f>U7</f>
        <v>600</v>
      </c>
      <c r="T5" s="2" t="s">
        <v>79</v>
      </c>
      <c r="U5" s="24">
        <v>5995</v>
      </c>
      <c r="V5" s="24">
        <v>235600</v>
      </c>
      <c r="W5" s="24">
        <v>320786</v>
      </c>
    </row>
    <row r="6" spans="2:24" ht="13.5" customHeight="1" x14ac:dyDescent="0.3">
      <c r="B6" s="7" t="s">
        <v>2</v>
      </c>
      <c r="C6" s="17">
        <f>SUM(D6:G6)</f>
        <v>4949</v>
      </c>
      <c r="D6" s="41">
        <v>4949</v>
      </c>
      <c r="E6" s="41"/>
      <c r="F6" s="41"/>
      <c r="G6" s="41"/>
      <c r="H6" s="33"/>
      <c r="I6" s="34">
        <v>1000</v>
      </c>
      <c r="K6" s="49">
        <f>SUM(L6:O6)</f>
        <v>1249.28964</v>
      </c>
      <c r="L6" s="33">
        <f>V6*L$27/1000000*0.75</f>
        <v>267.82812000000001</v>
      </c>
      <c r="M6" s="41"/>
      <c r="N6" s="41"/>
      <c r="O6" s="33">
        <f>W6*O$27/1000000</f>
        <v>981.46151999999995</v>
      </c>
      <c r="P6" s="34">
        <f>U6</f>
        <v>9273</v>
      </c>
      <c r="T6" s="2" t="s">
        <v>78</v>
      </c>
      <c r="U6" s="24">
        <v>9273</v>
      </c>
      <c r="V6" s="24">
        <v>23618</v>
      </c>
      <c r="W6" s="24">
        <v>58006</v>
      </c>
    </row>
    <row r="7" spans="2:24" ht="13.5" customHeight="1" x14ac:dyDescent="0.3">
      <c r="B7" s="7" t="s">
        <v>3</v>
      </c>
      <c r="C7" s="17">
        <f>SUM(D7:G7)</f>
        <v>5427</v>
      </c>
      <c r="D7" s="41">
        <v>5427</v>
      </c>
      <c r="E7" s="41"/>
      <c r="F7" s="41"/>
      <c r="G7" s="41"/>
      <c r="H7" s="33"/>
      <c r="I7" s="34">
        <v>1000</v>
      </c>
      <c r="K7" s="49">
        <f>SUM(L7:O7)</f>
        <v>8099.4031199999999</v>
      </c>
      <c r="L7" s="33">
        <f>V5*L$27/1000000*0.75</f>
        <v>2671.7039999999997</v>
      </c>
      <c r="M7" s="41"/>
      <c r="N7" s="41"/>
      <c r="O7" s="33">
        <f>W5*O$27/1000000</f>
        <v>5427.6991200000002</v>
      </c>
      <c r="P7" s="34">
        <f>U5</f>
        <v>5995</v>
      </c>
      <c r="T7" s="2" t="s">
        <v>77</v>
      </c>
      <c r="U7" s="2">
        <v>600</v>
      </c>
      <c r="V7" s="24">
        <v>2431000</v>
      </c>
      <c r="W7" s="24">
        <v>289000</v>
      </c>
    </row>
    <row r="8" spans="2:24" ht="13.5" customHeight="1" x14ac:dyDescent="0.3">
      <c r="B8" s="7" t="s">
        <v>4</v>
      </c>
      <c r="C8" s="17"/>
      <c r="D8" s="41">
        <v>-187.44</v>
      </c>
      <c r="E8" s="41"/>
      <c r="F8" s="41"/>
      <c r="G8" s="41">
        <v>23.44</v>
      </c>
      <c r="H8" s="33"/>
      <c r="I8" s="34"/>
      <c r="K8" s="49"/>
      <c r="L8" s="21"/>
      <c r="M8" s="21"/>
      <c r="N8" s="21"/>
      <c r="O8" s="15"/>
      <c r="P8" s="16"/>
    </row>
    <row r="9" spans="2:24" ht="13.5" customHeight="1" x14ac:dyDescent="0.3">
      <c r="B9" s="7" t="s">
        <v>5</v>
      </c>
      <c r="C9" s="17"/>
      <c r="D9" s="41"/>
      <c r="E9" s="41"/>
      <c r="F9" s="41"/>
      <c r="G9" s="41"/>
      <c r="H9" s="33"/>
      <c r="I9" s="34"/>
      <c r="K9" s="49"/>
      <c r="L9" s="21"/>
      <c r="M9" s="21"/>
      <c r="N9" s="21"/>
      <c r="O9" s="15"/>
      <c r="P9" s="16"/>
    </row>
    <row r="10" spans="2:24" ht="13.5" customHeight="1" thickBot="1" x14ac:dyDescent="0.35">
      <c r="B10" s="46" t="s">
        <v>6</v>
      </c>
      <c r="C10" s="47">
        <f>SUM(D10:H10)</f>
        <v>88563.298360000001</v>
      </c>
      <c r="D10" s="61">
        <f>D5+D6-D7+D8</f>
        <v>88301.06336</v>
      </c>
      <c r="E10" s="38"/>
      <c r="F10" s="38"/>
      <c r="G10" s="61">
        <f>G5+G6-G7+G8</f>
        <v>262.23500000000001</v>
      </c>
      <c r="H10" s="39">
        <f>H5</f>
        <v>0</v>
      </c>
      <c r="I10" s="62">
        <f>I5+I6-I7+I8</f>
        <v>1000</v>
      </c>
      <c r="K10" s="51">
        <f>SUM(L10:O10)</f>
        <v>25607.306520000002</v>
      </c>
      <c r="L10" s="66">
        <f>L5+L6-L7</f>
        <v>25163.664120000001</v>
      </c>
      <c r="M10" s="53"/>
      <c r="N10" s="53"/>
      <c r="O10" s="66">
        <f>O5+O6-O7</f>
        <v>443.64239999999972</v>
      </c>
      <c r="P10" s="62">
        <f>P5+P6-P7</f>
        <v>3878</v>
      </c>
    </row>
    <row r="11" spans="2:24" ht="13.5" customHeight="1" thickBot="1" x14ac:dyDescent="0.35">
      <c r="B11" s="8" t="s">
        <v>7</v>
      </c>
      <c r="C11" s="19"/>
      <c r="D11" s="38"/>
      <c r="E11" s="38"/>
      <c r="F11" s="38"/>
      <c r="G11" s="38"/>
      <c r="H11" s="39"/>
      <c r="I11" s="40"/>
      <c r="K11" s="55">
        <f>SUM(L11:O11)</f>
        <v>0</v>
      </c>
      <c r="L11" s="67"/>
      <c r="M11" s="67"/>
      <c r="N11" s="68"/>
      <c r="O11" s="39"/>
      <c r="P11" s="40"/>
    </row>
    <row r="12" spans="2:24" ht="13.5" customHeight="1" x14ac:dyDescent="0.3">
      <c r="B12" s="7" t="s">
        <v>8</v>
      </c>
      <c r="C12" s="45">
        <f>SUM(D12:G12)</f>
        <v>6075</v>
      </c>
      <c r="D12" s="24">
        <v>6073.5349999999999</v>
      </c>
      <c r="G12" s="24">
        <v>1.4650000000000001</v>
      </c>
      <c r="H12" s="33"/>
      <c r="I12" s="34"/>
      <c r="K12" s="49"/>
      <c r="L12" s="41"/>
      <c r="M12" s="41"/>
      <c r="N12" s="34"/>
      <c r="O12" s="33"/>
      <c r="P12" s="34"/>
    </row>
    <row r="13" spans="2:24" ht="13.5" customHeight="1" x14ac:dyDescent="0.3">
      <c r="B13" s="7" t="s">
        <v>9</v>
      </c>
      <c r="C13" s="17">
        <f>SUM(D13:H13)</f>
        <v>8778</v>
      </c>
      <c r="D13" s="24">
        <v>8681.31</v>
      </c>
      <c r="G13" s="24">
        <v>96.69</v>
      </c>
      <c r="H13" s="33"/>
      <c r="I13" s="34"/>
      <c r="K13" s="18"/>
      <c r="L13" s="21"/>
      <c r="M13" s="21"/>
      <c r="N13" s="16"/>
      <c r="O13" s="15"/>
      <c r="P13" s="16"/>
    </row>
    <row r="14" spans="2:24" ht="13.5" customHeight="1" x14ac:dyDescent="0.3">
      <c r="B14" s="7" t="s">
        <v>10</v>
      </c>
      <c r="C14" s="17">
        <f>SUM(D14:G14)</f>
        <v>43</v>
      </c>
      <c r="D14" s="24">
        <v>43</v>
      </c>
      <c r="H14" s="33"/>
      <c r="I14" s="34"/>
      <c r="K14" s="18"/>
      <c r="L14" s="21"/>
      <c r="M14" s="21"/>
      <c r="N14" s="16"/>
      <c r="O14" s="15"/>
      <c r="P14" s="16"/>
    </row>
    <row r="15" spans="2:24" ht="13.5" customHeight="1" x14ac:dyDescent="0.3">
      <c r="B15" s="7" t="s">
        <v>11</v>
      </c>
      <c r="C15" s="17"/>
      <c r="H15" s="33"/>
      <c r="I15" s="34"/>
      <c r="K15" s="18"/>
      <c r="L15" s="21"/>
      <c r="M15" s="21"/>
      <c r="N15" s="16"/>
      <c r="O15" s="15"/>
      <c r="P15" s="16"/>
      <c r="V15" s="24"/>
      <c r="W15" s="24"/>
      <c r="X15" s="24"/>
    </row>
    <row r="16" spans="2:24" ht="13.5" customHeight="1" x14ac:dyDescent="0.3">
      <c r="B16" s="7" t="s">
        <v>34</v>
      </c>
      <c r="C16" s="17"/>
      <c r="H16" s="33"/>
      <c r="I16" s="34"/>
      <c r="K16" s="18"/>
      <c r="L16" s="21"/>
      <c r="M16" s="21"/>
      <c r="N16" s="16"/>
      <c r="O16" s="15"/>
      <c r="P16" s="16"/>
      <c r="V16" s="24"/>
      <c r="W16" s="24"/>
      <c r="X16" s="24"/>
    </row>
    <row r="17" spans="2:24" ht="13.5" customHeight="1" x14ac:dyDescent="0.3">
      <c r="B17" s="7" t="s">
        <v>12</v>
      </c>
      <c r="C17" s="17"/>
      <c r="H17" s="33"/>
      <c r="I17" s="34"/>
      <c r="K17" s="18"/>
      <c r="L17" s="21"/>
      <c r="M17" s="21"/>
      <c r="N17" s="16"/>
      <c r="O17" s="15"/>
      <c r="P17" s="16"/>
      <c r="W17" s="24"/>
      <c r="X17" s="24"/>
    </row>
    <row r="18" spans="2:24" ht="13.5" customHeight="1" x14ac:dyDescent="0.3">
      <c r="B18" s="7" t="s">
        <v>13</v>
      </c>
      <c r="C18" s="17">
        <f>SUM(D18:G18)</f>
        <v>6</v>
      </c>
      <c r="D18" s="24">
        <v>6</v>
      </c>
      <c r="H18" s="33"/>
      <c r="I18" s="34"/>
      <c r="K18" s="18"/>
      <c r="L18" s="21"/>
      <c r="M18" s="21"/>
      <c r="N18" s="16"/>
      <c r="O18" s="15"/>
      <c r="P18" s="16"/>
    </row>
    <row r="19" spans="2:24" ht="13.5" customHeight="1" thickBot="1" x14ac:dyDescent="0.35">
      <c r="B19" s="7" t="s">
        <v>14</v>
      </c>
      <c r="C19" s="19"/>
      <c r="H19" s="33"/>
      <c r="I19" s="34"/>
      <c r="K19" s="18"/>
      <c r="L19" s="21"/>
      <c r="M19" s="21"/>
      <c r="N19" s="16"/>
      <c r="O19" s="15"/>
      <c r="P19" s="16"/>
    </row>
    <row r="20" spans="2:24" ht="13.5" customHeight="1" x14ac:dyDescent="0.3">
      <c r="B20" s="9" t="s">
        <v>15</v>
      </c>
      <c r="C20" s="63">
        <f>SUM(D20:H20)</f>
        <v>28049</v>
      </c>
      <c r="D20" s="58">
        <f>SUM(D21:D26)</f>
        <v>27884.92</v>
      </c>
      <c r="E20" s="35"/>
      <c r="F20" s="35"/>
      <c r="G20" s="58">
        <f t="shared" ref="G20" si="0">SUM(G21:G26)</f>
        <v>164.07999999999998</v>
      </c>
      <c r="H20" s="36">
        <f>H25</f>
        <v>0</v>
      </c>
      <c r="I20" s="59">
        <f t="shared" ref="I20" si="1">SUM(I21:I26)</f>
        <v>1000</v>
      </c>
      <c r="K20" s="56"/>
      <c r="L20" s="58"/>
      <c r="M20" s="58"/>
      <c r="N20" s="58"/>
      <c r="O20" s="57"/>
      <c r="P20" s="59"/>
    </row>
    <row r="21" spans="2:24" ht="13.5" customHeight="1" x14ac:dyDescent="0.3">
      <c r="B21" s="7" t="s">
        <v>16</v>
      </c>
      <c r="C21" s="17">
        <f>SUM(D21:G21)</f>
        <v>3518</v>
      </c>
      <c r="D21" s="41">
        <v>3504.8150000000001</v>
      </c>
      <c r="E21" s="41"/>
      <c r="F21" s="41"/>
      <c r="G21" s="41">
        <v>13.185</v>
      </c>
      <c r="H21" s="33"/>
      <c r="I21" s="34"/>
      <c r="K21" s="49"/>
      <c r="L21" s="41"/>
      <c r="M21" s="41"/>
      <c r="N21" s="41"/>
      <c r="O21" s="33"/>
      <c r="P21" s="34"/>
    </row>
    <row r="22" spans="2:24" ht="13.5" customHeight="1" x14ac:dyDescent="0.3">
      <c r="B22" s="7" t="s">
        <v>17</v>
      </c>
      <c r="C22" s="17"/>
      <c r="D22" s="41"/>
      <c r="E22" s="41"/>
      <c r="F22" s="41"/>
      <c r="G22" s="41"/>
      <c r="H22" s="33"/>
      <c r="I22" s="34"/>
      <c r="K22" s="18"/>
      <c r="L22" s="21"/>
      <c r="M22" s="21"/>
      <c r="N22" s="21"/>
      <c r="O22" s="15"/>
      <c r="P22" s="16"/>
    </row>
    <row r="23" spans="2:24" ht="13.5" customHeight="1" x14ac:dyDescent="0.3">
      <c r="B23" s="7" t="s">
        <v>18</v>
      </c>
      <c r="C23" s="17"/>
      <c r="D23" s="41"/>
      <c r="E23" s="41"/>
      <c r="F23" s="41"/>
      <c r="G23" s="41"/>
      <c r="H23" s="33"/>
      <c r="I23" s="34"/>
      <c r="K23" s="18"/>
      <c r="L23" s="21"/>
      <c r="M23" s="21"/>
      <c r="N23" s="21"/>
      <c r="O23" s="15"/>
      <c r="P23" s="16"/>
    </row>
    <row r="24" spans="2:24" ht="13.5" customHeight="1" x14ac:dyDescent="0.3">
      <c r="B24" s="7" t="s">
        <v>19</v>
      </c>
      <c r="C24" s="17">
        <f>SUM(D24:G24)</f>
        <v>1448</v>
      </c>
      <c r="D24" s="41">
        <v>1389.4</v>
      </c>
      <c r="E24" s="41"/>
      <c r="F24" s="41"/>
      <c r="G24" s="41">
        <v>58.6</v>
      </c>
      <c r="H24" s="33"/>
      <c r="I24" s="34">
        <v>1000</v>
      </c>
      <c r="K24" s="49"/>
      <c r="L24" s="41"/>
      <c r="M24" s="41"/>
      <c r="N24" s="41"/>
      <c r="O24" s="33"/>
      <c r="P24" s="34"/>
    </row>
    <row r="25" spans="2:24" ht="13.5" customHeight="1" x14ac:dyDescent="0.3">
      <c r="B25" s="7" t="s">
        <v>20</v>
      </c>
      <c r="C25" s="17">
        <f>SUM(D25:G25)</f>
        <v>22595</v>
      </c>
      <c r="D25" s="41">
        <v>22590.605</v>
      </c>
      <c r="E25" s="41"/>
      <c r="F25" s="41"/>
      <c r="G25" s="41">
        <v>4.3949999999999996</v>
      </c>
      <c r="H25" s="33"/>
      <c r="I25" s="34"/>
      <c r="K25" s="49"/>
      <c r="L25" s="41"/>
      <c r="M25" s="41"/>
      <c r="N25" s="41"/>
      <c r="O25" s="33"/>
      <c r="P25" s="34"/>
    </row>
    <row r="26" spans="2:24" ht="13.5" customHeight="1" thickBot="1" x14ac:dyDescent="0.35">
      <c r="B26" s="8" t="s">
        <v>21</v>
      </c>
      <c r="C26" s="17">
        <f>SUM(D26:G26)</f>
        <v>488</v>
      </c>
      <c r="D26" s="38">
        <v>400.1</v>
      </c>
      <c r="E26" s="38"/>
      <c r="F26" s="38"/>
      <c r="G26" s="38">
        <v>87.9</v>
      </c>
      <c r="H26" s="39"/>
      <c r="I26" s="40"/>
      <c r="K26" s="50"/>
      <c r="L26" s="38"/>
      <c r="M26" s="38"/>
      <c r="N26" s="38"/>
      <c r="O26" s="39"/>
      <c r="P26" s="40"/>
    </row>
    <row r="27" spans="2:24" ht="13.5" customHeight="1" thickBot="1" x14ac:dyDescent="0.35">
      <c r="B27" s="10" t="s">
        <v>22</v>
      </c>
      <c r="C27" s="22"/>
      <c r="D27" s="42">
        <v>15120</v>
      </c>
      <c r="E27" s="42"/>
      <c r="F27" s="42"/>
      <c r="G27" s="42">
        <v>14650</v>
      </c>
      <c r="H27" s="43"/>
      <c r="I27" s="44">
        <v>30800</v>
      </c>
      <c r="L27" s="43">
        <v>15120</v>
      </c>
      <c r="M27" s="42"/>
      <c r="N27" s="42"/>
      <c r="O27" s="43">
        <v>16920</v>
      </c>
      <c r="P27" s="44"/>
    </row>
    <row r="28" spans="2:24" ht="15" customHeight="1" x14ac:dyDescent="0.3"/>
    <row r="30" spans="2:24" x14ac:dyDescent="0.3">
      <c r="B30" s="11"/>
      <c r="C30" s="13"/>
    </row>
    <row r="33" spans="2:3" x14ac:dyDescent="0.3">
      <c r="B33" s="12"/>
    </row>
    <row r="34" spans="2:3" x14ac:dyDescent="0.3">
      <c r="B34" s="12"/>
    </row>
    <row r="35" spans="2:3" x14ac:dyDescent="0.3">
      <c r="B35" s="12"/>
    </row>
    <row r="36" spans="2:3" x14ac:dyDescent="0.3">
      <c r="B36" s="13"/>
      <c r="C36" s="13"/>
    </row>
    <row r="37" spans="2:3" x14ac:dyDescent="0.3">
      <c r="B37" s="12"/>
    </row>
    <row r="38" spans="2:3" x14ac:dyDescent="0.3">
      <c r="B38" s="6"/>
      <c r="C38" s="6"/>
    </row>
    <row r="39" spans="2:3" x14ac:dyDescent="0.3">
      <c r="B39" s="6"/>
      <c r="C39" s="6"/>
    </row>
    <row r="40" spans="2:3" x14ac:dyDescent="0.3">
      <c r="B40" s="6"/>
      <c r="C40" s="6"/>
    </row>
    <row r="41" spans="2:3" x14ac:dyDescent="0.3">
      <c r="B41" s="6"/>
      <c r="C41" s="6"/>
    </row>
    <row r="42" spans="2:3" x14ac:dyDescent="0.3">
      <c r="B42" s="6"/>
      <c r="C42" s="6"/>
    </row>
    <row r="43" spans="2:3" x14ac:dyDescent="0.3">
      <c r="B43" s="12"/>
    </row>
    <row r="44" spans="2:3" x14ac:dyDescent="0.3">
      <c r="B44" s="12"/>
    </row>
    <row r="45" spans="2:3" x14ac:dyDescent="0.3">
      <c r="B45" s="12"/>
    </row>
    <row r="46" spans="2:3" x14ac:dyDescent="0.3">
      <c r="B46" s="13"/>
      <c r="C46" s="13"/>
    </row>
    <row r="47" spans="2:3" x14ac:dyDescent="0.3">
      <c r="B47" s="14"/>
      <c r="C47" s="14"/>
    </row>
    <row r="48" spans="2:3" x14ac:dyDescent="0.3">
      <c r="B48" s="14"/>
      <c r="C48" s="14"/>
    </row>
    <row r="49" spans="2:3" x14ac:dyDescent="0.3">
      <c r="B49" s="14"/>
      <c r="C49" s="14"/>
    </row>
    <row r="50" spans="2:3" x14ac:dyDescent="0.3">
      <c r="B50" s="14"/>
      <c r="C50" s="14"/>
    </row>
    <row r="51" spans="2:3" x14ac:dyDescent="0.3">
      <c r="B51" s="14"/>
      <c r="C51" s="14"/>
    </row>
    <row r="52" spans="2:3" x14ac:dyDescent="0.3">
      <c r="B52" s="14"/>
      <c r="C52" s="14"/>
    </row>
    <row r="53" spans="2:3" x14ac:dyDescent="0.3">
      <c r="B53" s="14"/>
      <c r="C53" s="14"/>
    </row>
    <row r="54" spans="2:3" x14ac:dyDescent="0.3">
      <c r="B54" s="12"/>
    </row>
  </sheetData>
  <mergeCells count="2">
    <mergeCell ref="C2:I2"/>
    <mergeCell ref="K2:P2"/>
  </mergeCells>
  <printOptions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4"/>
  <sheetViews>
    <sheetView tabSelected="1" zoomScale="70" zoomScaleNormal="70" workbookViewId="0">
      <selection activeCell="C11" sqref="C11"/>
    </sheetView>
  </sheetViews>
  <sheetFormatPr defaultRowHeight="13" x14ac:dyDescent="0.3"/>
  <cols>
    <col min="1" max="1" width="3.26953125" style="2" customWidth="1"/>
    <col min="2" max="2" width="22.26953125" style="1" customWidth="1"/>
    <col min="3" max="3" width="7.81640625" style="12" customWidth="1"/>
    <col min="4" max="4" width="8.81640625" style="24" customWidth="1"/>
    <col min="5" max="5" width="6.81640625" style="24" customWidth="1"/>
    <col min="6" max="9" width="7.81640625" style="24" customWidth="1"/>
    <col min="10" max="10" width="2.453125" style="2" customWidth="1"/>
    <col min="11" max="16384" width="8.7265625" style="2"/>
  </cols>
  <sheetData>
    <row r="1" spans="2:16" ht="13.5" customHeight="1" thickBot="1" x14ac:dyDescent="0.35">
      <c r="B1" s="23" t="s">
        <v>60</v>
      </c>
    </row>
    <row r="2" spans="2:16" ht="13.5" customHeight="1" thickBot="1" x14ac:dyDescent="0.35">
      <c r="C2" s="208" t="s">
        <v>45</v>
      </c>
      <c r="D2" s="209"/>
      <c r="E2" s="209"/>
      <c r="F2" s="209"/>
      <c r="G2" s="209"/>
      <c r="H2" s="209"/>
      <c r="I2" s="210"/>
      <c r="K2" s="211" t="s">
        <v>40</v>
      </c>
      <c r="L2" s="212"/>
      <c r="M2" s="212"/>
      <c r="N2" s="212"/>
      <c r="O2" s="212"/>
      <c r="P2" s="213"/>
    </row>
    <row r="3" spans="2:16" ht="39.5" customHeight="1" x14ac:dyDescent="0.3">
      <c r="B3" s="3" t="s">
        <v>0</v>
      </c>
      <c r="C3" s="25" t="s">
        <v>30</v>
      </c>
      <c r="D3" s="26" t="s">
        <v>23</v>
      </c>
      <c r="E3" s="26" t="s">
        <v>24</v>
      </c>
      <c r="F3" s="26" t="s">
        <v>25</v>
      </c>
      <c r="G3" s="26" t="s">
        <v>31</v>
      </c>
      <c r="H3" s="27" t="s">
        <v>33</v>
      </c>
      <c r="I3" s="28" t="s">
        <v>27</v>
      </c>
      <c r="K3" s="25" t="s">
        <v>41</v>
      </c>
      <c r="L3" s="26" t="s">
        <v>23</v>
      </c>
      <c r="M3" s="26" t="s">
        <v>24</v>
      </c>
      <c r="N3" s="28" t="s">
        <v>25</v>
      </c>
      <c r="O3" s="27" t="s">
        <v>33</v>
      </c>
      <c r="P3" s="28" t="s">
        <v>27</v>
      </c>
    </row>
    <row r="4" spans="2:16" ht="13.5" customHeight="1" thickBot="1" x14ac:dyDescent="0.35">
      <c r="B4" s="4">
        <v>2013</v>
      </c>
      <c r="C4" s="65" t="s">
        <v>29</v>
      </c>
      <c r="D4" s="30" t="s">
        <v>29</v>
      </c>
      <c r="E4" s="30" t="s">
        <v>29</v>
      </c>
      <c r="F4" s="30" t="s">
        <v>29</v>
      </c>
      <c r="G4" s="30" t="s">
        <v>29</v>
      </c>
      <c r="H4" s="31" t="s">
        <v>29</v>
      </c>
      <c r="I4" s="32" t="s">
        <v>28</v>
      </c>
      <c r="K4" s="29" t="s">
        <v>29</v>
      </c>
      <c r="L4" s="30" t="s">
        <v>29</v>
      </c>
      <c r="M4" s="30" t="s">
        <v>29</v>
      </c>
      <c r="N4" s="32" t="s">
        <v>29</v>
      </c>
      <c r="O4" s="31" t="s">
        <v>29</v>
      </c>
      <c r="P4" s="32" t="s">
        <v>28</v>
      </c>
    </row>
    <row r="5" spans="2:16" ht="13.5" customHeight="1" x14ac:dyDescent="0.3">
      <c r="B5" s="5" t="s">
        <v>1</v>
      </c>
      <c r="C5" s="45">
        <f>SUM(D5:H5)</f>
        <v>89003.774160000001</v>
      </c>
      <c r="D5" s="35">
        <v>88966.503360000002</v>
      </c>
      <c r="E5" s="35">
        <v>37.270800000000001</v>
      </c>
      <c r="F5" s="35"/>
      <c r="G5" s="35"/>
      <c r="H5" s="36"/>
      <c r="I5" s="37"/>
      <c r="K5" s="49">
        <f>SUM(L5:O5)</f>
        <v>4320.6054362505529</v>
      </c>
      <c r="L5" s="74">
        <v>4320.6054362505529</v>
      </c>
      <c r="M5" s="74"/>
      <c r="N5" s="75"/>
      <c r="O5" s="33"/>
      <c r="P5" s="34"/>
    </row>
    <row r="6" spans="2:16" ht="13.5" customHeight="1" x14ac:dyDescent="0.3">
      <c r="B6" s="7" t="s">
        <v>2</v>
      </c>
      <c r="C6" s="17">
        <f>SUM(D6:H6)</f>
        <v>270.48141800000002</v>
      </c>
      <c r="D6" s="41">
        <v>210.61979400000001</v>
      </c>
      <c r="E6" s="41">
        <v>59.861623999999999</v>
      </c>
      <c r="F6" s="41"/>
      <c r="G6" s="41"/>
      <c r="H6" s="33"/>
      <c r="I6" s="34"/>
      <c r="K6" s="49">
        <f>SUM(L6:O6)</f>
        <v>15.065443100355999</v>
      </c>
      <c r="L6" s="41">
        <v>13.681443100355999</v>
      </c>
      <c r="M6" s="41"/>
      <c r="N6" s="34"/>
      <c r="O6" s="33">
        <v>1.3840000000000001</v>
      </c>
      <c r="P6" s="34">
        <v>540</v>
      </c>
    </row>
    <row r="7" spans="2:16" ht="13.5" customHeight="1" x14ac:dyDescent="0.3">
      <c r="B7" s="7" t="s">
        <v>3</v>
      </c>
      <c r="C7" s="17">
        <f>SUM(D7:H7)</f>
        <v>113.5530524</v>
      </c>
      <c r="D7" s="41">
        <v>106.5000244</v>
      </c>
      <c r="E7" s="41">
        <v>7.0530280000000003</v>
      </c>
      <c r="F7" s="41"/>
      <c r="G7" s="41"/>
      <c r="H7" s="33"/>
      <c r="I7" s="34"/>
      <c r="K7" s="49">
        <f>SUM(L7:O7)</f>
        <v>83.980015071174989</v>
      </c>
      <c r="L7" s="41">
        <v>66.50701507117499</v>
      </c>
      <c r="M7" s="41"/>
      <c r="N7" s="34"/>
      <c r="O7" s="33">
        <v>17.473000000000003</v>
      </c>
      <c r="P7" s="34"/>
    </row>
    <row r="8" spans="2:16" ht="13.5" customHeight="1" x14ac:dyDescent="0.3">
      <c r="B8" s="7" t="s">
        <v>4</v>
      </c>
      <c r="C8" s="17">
        <f>SUM(D8:H8)</f>
        <v>-590.54208936800001</v>
      </c>
      <c r="D8" s="41">
        <v>-590.54208936800001</v>
      </c>
      <c r="E8" s="41"/>
      <c r="F8" s="41"/>
      <c r="G8" s="41"/>
      <c r="H8" s="33"/>
      <c r="I8" s="34"/>
      <c r="K8" s="49"/>
      <c r="L8" s="21"/>
      <c r="M8" s="21"/>
      <c r="N8" s="16"/>
      <c r="O8" s="15"/>
      <c r="P8" s="16"/>
    </row>
    <row r="9" spans="2:16" ht="13.5" customHeight="1" x14ac:dyDescent="0.3">
      <c r="B9" s="7" t="s">
        <v>5</v>
      </c>
      <c r="C9" s="17"/>
      <c r="D9" s="41"/>
      <c r="E9" s="41"/>
      <c r="F9" s="41"/>
      <c r="G9" s="41"/>
      <c r="H9" s="33"/>
      <c r="I9" s="34"/>
      <c r="K9" s="49"/>
      <c r="L9" s="21"/>
      <c r="M9" s="21"/>
      <c r="N9" s="16"/>
      <c r="O9" s="15"/>
      <c r="P9" s="16"/>
    </row>
    <row r="10" spans="2:16" ht="13.5" customHeight="1" thickBot="1" x14ac:dyDescent="0.35">
      <c r="B10" s="46" t="s">
        <v>6</v>
      </c>
      <c r="C10" s="63">
        <f>SUM(D10:H10)</f>
        <v>88570.160436232007</v>
      </c>
      <c r="D10" s="61">
        <f>D5+D6-D7+D8</f>
        <v>88480.081040232006</v>
      </c>
      <c r="E10" s="61">
        <v>90.079396000000003</v>
      </c>
      <c r="F10" s="61"/>
      <c r="G10" s="61"/>
      <c r="H10" s="66">
        <f>H5</f>
        <v>0</v>
      </c>
      <c r="I10" s="62"/>
      <c r="K10" s="51">
        <f>SUM(L10:O10)</f>
        <v>4251.6908642797334</v>
      </c>
      <c r="L10" s="53">
        <v>4267.7798642797334</v>
      </c>
      <c r="M10" s="53"/>
      <c r="N10" s="54"/>
      <c r="O10" s="52">
        <v>-16.089000000000002</v>
      </c>
      <c r="P10" s="54">
        <v>540</v>
      </c>
    </row>
    <row r="11" spans="2:16" ht="13.5" customHeight="1" thickBot="1" x14ac:dyDescent="0.35">
      <c r="B11" s="8" t="s">
        <v>7</v>
      </c>
      <c r="C11" s="22"/>
      <c r="D11" s="38"/>
      <c r="E11" s="38"/>
      <c r="F11" s="38"/>
      <c r="G11" s="38"/>
      <c r="H11" s="39"/>
      <c r="I11" s="40"/>
      <c r="K11" s="55">
        <f>SUM(L11:O11)</f>
        <v>-16.089000000000002</v>
      </c>
      <c r="L11" s="67"/>
      <c r="M11" s="67"/>
      <c r="N11" s="68"/>
      <c r="O11" s="43">
        <v>-16.089000000000002</v>
      </c>
      <c r="P11" s="44">
        <v>32.399999999999977</v>
      </c>
    </row>
    <row r="12" spans="2:16" ht="13.5" customHeight="1" x14ac:dyDescent="0.3">
      <c r="B12" s="7" t="s">
        <v>8</v>
      </c>
      <c r="C12" s="17"/>
      <c r="H12" s="33"/>
      <c r="I12" s="34"/>
      <c r="K12" s="49"/>
      <c r="L12" s="41"/>
      <c r="M12" s="41"/>
      <c r="N12" s="34"/>
      <c r="O12" s="33"/>
      <c r="P12" s="34"/>
    </row>
    <row r="13" spans="2:16" ht="13.5" customHeight="1" x14ac:dyDescent="0.3">
      <c r="B13" s="7" t="s">
        <v>9</v>
      </c>
      <c r="C13" s="17">
        <f>SUM(D13:H13)</f>
        <v>0</v>
      </c>
      <c r="H13" s="33"/>
      <c r="I13" s="34"/>
      <c r="K13" s="18"/>
      <c r="L13" s="21"/>
      <c r="M13" s="21"/>
      <c r="N13" s="16"/>
      <c r="O13" s="15"/>
      <c r="P13" s="16"/>
    </row>
    <row r="14" spans="2:16" ht="13.5" customHeight="1" x14ac:dyDescent="0.3">
      <c r="B14" s="7" t="s">
        <v>10</v>
      </c>
      <c r="C14" s="17"/>
      <c r="H14" s="33"/>
      <c r="I14" s="34"/>
      <c r="K14" s="18"/>
      <c r="L14" s="21"/>
      <c r="M14" s="21"/>
      <c r="N14" s="16"/>
      <c r="O14" s="15"/>
      <c r="P14" s="16"/>
    </row>
    <row r="15" spans="2:16" ht="13.5" customHeight="1" x14ac:dyDescent="0.3">
      <c r="B15" s="7" t="s">
        <v>11</v>
      </c>
      <c r="C15" s="17"/>
      <c r="H15" s="33"/>
      <c r="I15" s="34"/>
      <c r="K15" s="18"/>
      <c r="L15" s="21"/>
      <c r="M15" s="21"/>
      <c r="N15" s="16"/>
      <c r="O15" s="15"/>
      <c r="P15" s="16"/>
    </row>
    <row r="16" spans="2:16" ht="13.5" customHeight="1" x14ac:dyDescent="0.3">
      <c r="B16" s="7" t="s">
        <v>34</v>
      </c>
      <c r="C16" s="17"/>
      <c r="H16" s="33"/>
      <c r="I16" s="34"/>
      <c r="K16" s="18"/>
      <c r="L16" s="21"/>
      <c r="M16" s="21"/>
      <c r="N16" s="16"/>
      <c r="O16" s="15"/>
      <c r="P16" s="16"/>
    </row>
    <row r="17" spans="2:16" ht="13.5" customHeight="1" x14ac:dyDescent="0.3">
      <c r="B17" s="7" t="s">
        <v>12</v>
      </c>
      <c r="C17" s="17"/>
      <c r="H17" s="33"/>
      <c r="I17" s="34"/>
      <c r="K17" s="18"/>
      <c r="L17" s="21"/>
      <c r="M17" s="21"/>
      <c r="N17" s="16"/>
      <c r="O17" s="15"/>
      <c r="P17" s="16"/>
    </row>
    <row r="18" spans="2:16" ht="13.5" customHeight="1" x14ac:dyDescent="0.3">
      <c r="B18" s="7" t="s">
        <v>13</v>
      </c>
      <c r="C18" s="17"/>
      <c r="H18" s="33"/>
      <c r="I18" s="34"/>
      <c r="K18" s="18"/>
      <c r="L18" s="21"/>
      <c r="M18" s="21"/>
      <c r="N18" s="16"/>
      <c r="O18" s="15"/>
      <c r="P18" s="16"/>
    </row>
    <row r="19" spans="2:16" ht="13.5" customHeight="1" thickBot="1" x14ac:dyDescent="0.35">
      <c r="B19" s="7" t="s">
        <v>14</v>
      </c>
      <c r="C19" s="17"/>
      <c r="H19" s="33"/>
      <c r="I19" s="34"/>
      <c r="K19" s="18"/>
      <c r="L19" s="21"/>
      <c r="M19" s="21"/>
      <c r="N19" s="16"/>
      <c r="O19" s="15"/>
      <c r="P19" s="16"/>
    </row>
    <row r="20" spans="2:16" ht="13.5" customHeight="1" x14ac:dyDescent="0.3">
      <c r="B20" s="9" t="s">
        <v>15</v>
      </c>
      <c r="C20" s="20">
        <f>SUM(D20:H20)</f>
        <v>6207.354217432</v>
      </c>
      <c r="D20" s="58">
        <f>SUM(D21:D26)</f>
        <v>6117.2779834319999</v>
      </c>
      <c r="E20" s="58">
        <v>90.076233999999999</v>
      </c>
      <c r="F20" s="58"/>
      <c r="G20" s="58"/>
      <c r="H20" s="57">
        <f>H25</f>
        <v>0</v>
      </c>
      <c r="I20" s="59"/>
      <c r="K20" s="56">
        <f>SUM(L20:O20)</f>
        <v>4267.7798642797334</v>
      </c>
      <c r="L20" s="58">
        <f t="shared" ref="L20:P20" si="0">SUM(L21:L26)</f>
        <v>4267.7798642797334</v>
      </c>
      <c r="M20" s="58"/>
      <c r="N20" s="58"/>
      <c r="O20" s="57"/>
      <c r="P20" s="59">
        <f t="shared" si="0"/>
        <v>507.6</v>
      </c>
    </row>
    <row r="21" spans="2:16" ht="13.5" customHeight="1" x14ac:dyDescent="0.3">
      <c r="B21" s="7" t="s">
        <v>16</v>
      </c>
      <c r="C21" s="17">
        <f>SUM(D21:H21)</f>
        <v>271.24577739999995</v>
      </c>
      <c r="D21" s="41">
        <v>232.66444739999997</v>
      </c>
      <c r="E21" s="41">
        <v>38.581330000000001</v>
      </c>
      <c r="F21" s="41"/>
      <c r="G21" s="41"/>
      <c r="H21" s="33"/>
      <c r="I21" s="34"/>
      <c r="K21" s="49">
        <f>SUM(L21:O21)</f>
        <v>159.76125140354594</v>
      </c>
      <c r="L21" s="41">
        <v>159.76125140354594</v>
      </c>
      <c r="M21" s="41"/>
      <c r="N21" s="41"/>
      <c r="O21" s="33"/>
      <c r="P21" s="34"/>
    </row>
    <row r="22" spans="2:16" ht="13.5" customHeight="1" x14ac:dyDescent="0.3">
      <c r="B22" s="7" t="s">
        <v>17</v>
      </c>
      <c r="C22" s="17"/>
      <c r="D22" s="41"/>
      <c r="E22" s="41"/>
      <c r="F22" s="41"/>
      <c r="G22" s="41"/>
      <c r="H22" s="33"/>
      <c r="I22" s="34"/>
      <c r="K22" s="18"/>
      <c r="L22" s="21"/>
      <c r="M22" s="21"/>
      <c r="N22" s="21"/>
      <c r="O22" s="15"/>
      <c r="P22" s="16"/>
    </row>
    <row r="23" spans="2:16" ht="13.5" customHeight="1" x14ac:dyDescent="0.3">
      <c r="B23" s="7" t="s">
        <v>18</v>
      </c>
      <c r="C23" s="17"/>
      <c r="D23" s="41"/>
      <c r="E23" s="41"/>
      <c r="F23" s="41"/>
      <c r="G23" s="41"/>
      <c r="H23" s="33"/>
      <c r="I23" s="34"/>
      <c r="K23" s="18"/>
      <c r="L23" s="21"/>
      <c r="M23" s="21"/>
      <c r="N23" s="21"/>
      <c r="O23" s="15"/>
      <c r="P23" s="16"/>
    </row>
    <row r="24" spans="2:16" ht="13.5" customHeight="1" x14ac:dyDescent="0.3">
      <c r="B24" s="7" t="s">
        <v>19</v>
      </c>
      <c r="C24" s="17">
        <f>SUM(D24:H24)</f>
        <v>196.36550929072001</v>
      </c>
      <c r="D24" s="41">
        <v>196.36550929072001</v>
      </c>
      <c r="E24" s="41"/>
      <c r="F24" s="41"/>
      <c r="G24" s="41"/>
      <c r="H24" s="33"/>
      <c r="I24" s="34"/>
      <c r="K24" s="49">
        <f t="shared" ref="K24:K25" si="1">SUM(L24:O24)</f>
        <v>118.26847480085519</v>
      </c>
      <c r="L24" s="41">
        <v>118.26847480085519</v>
      </c>
      <c r="M24" s="41"/>
      <c r="N24" s="41"/>
      <c r="O24" s="33"/>
      <c r="P24" s="34"/>
    </row>
    <row r="25" spans="2:16" ht="13.5" customHeight="1" x14ac:dyDescent="0.3">
      <c r="B25" s="7" t="s">
        <v>20</v>
      </c>
      <c r="C25" s="17">
        <f>SUM(D25:H25)</f>
        <v>5652.59066554128</v>
      </c>
      <c r="D25" s="41">
        <v>5601.0957615412799</v>
      </c>
      <c r="E25" s="41">
        <v>51.494903999999998</v>
      </c>
      <c r="F25" s="41"/>
      <c r="G25" s="41"/>
      <c r="H25" s="33"/>
      <c r="I25" s="34"/>
      <c r="K25" s="49">
        <f t="shared" si="1"/>
        <v>3906.1012189757403</v>
      </c>
      <c r="L25" s="41">
        <v>3906.1012189757403</v>
      </c>
      <c r="M25" s="41"/>
      <c r="N25" s="41"/>
      <c r="O25" s="33"/>
      <c r="P25" s="34">
        <v>507.6</v>
      </c>
    </row>
    <row r="26" spans="2:16" ht="13.5" customHeight="1" thickBot="1" x14ac:dyDescent="0.35">
      <c r="B26" s="8" t="s">
        <v>21</v>
      </c>
      <c r="C26" s="19">
        <f>SUM(D26:H26)</f>
        <v>87.152265199999988</v>
      </c>
      <c r="D26" s="38">
        <v>87.152265199999988</v>
      </c>
      <c r="E26" s="38"/>
      <c r="F26" s="38"/>
      <c r="G26" s="38"/>
      <c r="H26" s="39"/>
      <c r="I26" s="40"/>
      <c r="K26" s="50"/>
      <c r="L26" s="38">
        <v>83.648919099591978</v>
      </c>
      <c r="M26" s="38"/>
      <c r="N26" s="38"/>
      <c r="O26" s="39"/>
      <c r="P26" s="40"/>
    </row>
    <row r="27" spans="2:16" ht="13.5" customHeight="1" thickBot="1" x14ac:dyDescent="0.35">
      <c r="B27" s="10" t="s">
        <v>22</v>
      </c>
      <c r="C27" s="19"/>
      <c r="D27" s="42">
        <v>15598</v>
      </c>
      <c r="E27" s="42">
        <v>6800</v>
      </c>
      <c r="F27" s="42"/>
      <c r="G27" s="42"/>
      <c r="H27" s="43"/>
      <c r="I27" s="44"/>
      <c r="L27" s="43">
        <v>14581.873807999998</v>
      </c>
      <c r="M27" s="42">
        <v>14581.873807999998</v>
      </c>
      <c r="N27" s="42">
        <v>12460</v>
      </c>
      <c r="O27" s="43">
        <v>17300</v>
      </c>
      <c r="P27" s="44">
        <v>30000</v>
      </c>
    </row>
    <row r="28" spans="2:16" ht="15" customHeight="1" x14ac:dyDescent="0.3">
      <c r="B28" s="71"/>
      <c r="H28" s="2"/>
      <c r="I28" s="2"/>
    </row>
    <row r="29" spans="2:16" x14ac:dyDescent="0.3">
      <c r="H29" s="2"/>
    </row>
    <row r="30" spans="2:16" x14ac:dyDescent="0.3">
      <c r="B30" s="11"/>
      <c r="C30" s="13"/>
      <c r="D30" s="2"/>
      <c r="E30" s="2"/>
      <c r="G30" s="2"/>
      <c r="H30" s="2"/>
    </row>
    <row r="31" spans="2:16" x14ac:dyDescent="0.3">
      <c r="C31" s="6"/>
      <c r="D31" s="2"/>
      <c r="E31" s="2"/>
      <c r="G31" s="2"/>
      <c r="H31" s="2"/>
    </row>
    <row r="32" spans="2:16" x14ac:dyDescent="0.3">
      <c r="C32" s="6"/>
      <c r="D32" s="2"/>
      <c r="E32" s="2"/>
      <c r="G32" s="2"/>
      <c r="H32" s="2"/>
    </row>
    <row r="33" spans="2:8" x14ac:dyDescent="0.3">
      <c r="B33" s="12"/>
      <c r="C33" s="6"/>
      <c r="D33" s="64"/>
      <c r="E33" s="64"/>
      <c r="G33" s="64"/>
      <c r="H33" s="2"/>
    </row>
    <row r="34" spans="2:8" x14ac:dyDescent="0.3">
      <c r="B34" s="12"/>
      <c r="C34" s="6"/>
      <c r="D34" s="64"/>
      <c r="E34" s="64"/>
      <c r="G34" s="64"/>
      <c r="H34" s="2"/>
    </row>
    <row r="35" spans="2:8" x14ac:dyDescent="0.3">
      <c r="B35" s="12"/>
      <c r="C35" s="6"/>
      <c r="D35" s="2"/>
      <c r="E35" s="2"/>
      <c r="G35" s="2"/>
      <c r="H35" s="2"/>
    </row>
    <row r="36" spans="2:8" x14ac:dyDescent="0.3">
      <c r="B36" s="13"/>
      <c r="D36" s="2"/>
      <c r="E36" s="2"/>
      <c r="G36" s="2"/>
      <c r="H36" s="2"/>
    </row>
    <row r="37" spans="2:8" x14ac:dyDescent="0.3">
      <c r="B37" s="12"/>
      <c r="D37" s="64"/>
      <c r="E37" s="2"/>
      <c r="G37" s="2"/>
      <c r="H37" s="2"/>
    </row>
    <row r="38" spans="2:8" x14ac:dyDescent="0.3">
      <c r="B38" s="6"/>
      <c r="D38" s="64"/>
      <c r="E38" s="2"/>
      <c r="G38" s="64"/>
      <c r="H38" s="2"/>
    </row>
    <row r="39" spans="2:8" x14ac:dyDescent="0.3">
      <c r="B39" s="6"/>
      <c r="C39" s="13"/>
      <c r="D39" s="2"/>
      <c r="E39" s="2"/>
      <c r="G39" s="2"/>
      <c r="H39" s="2"/>
    </row>
    <row r="40" spans="2:8" x14ac:dyDescent="0.3">
      <c r="B40" s="6"/>
      <c r="C40" s="14"/>
      <c r="D40" s="2"/>
      <c r="E40" s="2"/>
      <c r="G40" s="64"/>
      <c r="H40" s="2"/>
    </row>
    <row r="41" spans="2:8" x14ac:dyDescent="0.3">
      <c r="B41" s="6"/>
      <c r="C41" s="14"/>
      <c r="G41" s="2"/>
      <c r="H41" s="2"/>
    </row>
    <row r="42" spans="2:8" x14ac:dyDescent="0.3">
      <c r="B42" s="6"/>
      <c r="C42" s="14"/>
      <c r="H42" s="2"/>
    </row>
    <row r="43" spans="2:8" x14ac:dyDescent="0.3">
      <c r="B43" s="12"/>
      <c r="C43" s="14"/>
      <c r="H43" s="2"/>
    </row>
    <row r="44" spans="2:8" x14ac:dyDescent="0.3">
      <c r="B44" s="12"/>
      <c r="C44" s="14"/>
      <c r="H44" s="2"/>
    </row>
    <row r="45" spans="2:8" x14ac:dyDescent="0.3">
      <c r="B45" s="12"/>
      <c r="C45" s="14"/>
      <c r="H45" s="2"/>
    </row>
    <row r="46" spans="2:8" x14ac:dyDescent="0.3">
      <c r="B46" s="13"/>
      <c r="C46" s="14"/>
      <c r="H46" s="2"/>
    </row>
    <row r="47" spans="2:8" x14ac:dyDescent="0.3">
      <c r="B47" s="14"/>
    </row>
    <row r="48" spans="2:8" x14ac:dyDescent="0.3">
      <c r="B48" s="14"/>
    </row>
    <row r="49" spans="2:2" x14ac:dyDescent="0.3">
      <c r="B49" s="14"/>
    </row>
    <row r="50" spans="2:2" x14ac:dyDescent="0.3">
      <c r="B50" s="14"/>
    </row>
    <row r="51" spans="2:2" x14ac:dyDescent="0.3">
      <c r="B51" s="14"/>
    </row>
    <row r="52" spans="2:2" x14ac:dyDescent="0.3">
      <c r="B52" s="14"/>
    </row>
    <row r="53" spans="2:2" x14ac:dyDescent="0.3">
      <c r="B53" s="14"/>
    </row>
    <row r="54" spans="2:2" x14ac:dyDescent="0.3">
      <c r="B54" s="12"/>
    </row>
  </sheetData>
  <mergeCells count="2">
    <mergeCell ref="C2:I2"/>
    <mergeCell ref="K2:P2"/>
  </mergeCells>
  <printOptions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4"/>
  <sheetViews>
    <sheetView tabSelected="1" zoomScale="70" zoomScaleNormal="70" workbookViewId="0">
      <selection activeCell="C11" sqref="C11"/>
    </sheetView>
  </sheetViews>
  <sheetFormatPr defaultRowHeight="13" x14ac:dyDescent="0.3"/>
  <cols>
    <col min="1" max="1" width="3.26953125" style="2" customWidth="1"/>
    <col min="2" max="2" width="22.26953125" style="1" customWidth="1"/>
    <col min="3" max="3" width="7.81640625" style="12" customWidth="1"/>
    <col min="4" max="5" width="8.81640625" style="24" customWidth="1"/>
    <col min="6" max="6" width="6.81640625" style="24" customWidth="1"/>
    <col min="7" max="9" width="7.81640625" style="24" customWidth="1"/>
    <col min="10" max="10" width="2.6328125" style="2" customWidth="1"/>
    <col min="11" max="16384" width="8.7265625" style="2"/>
  </cols>
  <sheetData>
    <row r="1" spans="2:19" ht="13.5" customHeight="1" thickBot="1" x14ac:dyDescent="0.35">
      <c r="B1" s="23" t="s">
        <v>73</v>
      </c>
    </row>
    <row r="2" spans="2:19" ht="13.5" customHeight="1" thickBot="1" x14ac:dyDescent="0.35">
      <c r="C2" s="208" t="s">
        <v>43</v>
      </c>
      <c r="D2" s="209"/>
      <c r="E2" s="209"/>
      <c r="F2" s="209"/>
      <c r="G2" s="209"/>
      <c r="H2" s="209"/>
      <c r="I2" s="210"/>
      <c r="J2" s="60"/>
      <c r="K2" s="211" t="s">
        <v>40</v>
      </c>
      <c r="L2" s="212"/>
      <c r="M2" s="212"/>
      <c r="N2" s="212"/>
      <c r="O2" s="212"/>
      <c r="P2" s="213"/>
    </row>
    <row r="3" spans="2:19" ht="39.5" customHeight="1" x14ac:dyDescent="0.3">
      <c r="B3" s="3" t="s">
        <v>0</v>
      </c>
      <c r="C3" s="25" t="s">
        <v>30</v>
      </c>
      <c r="D3" s="26" t="s">
        <v>23</v>
      </c>
      <c r="E3" s="26" t="s">
        <v>24</v>
      </c>
      <c r="F3" s="26" t="s">
        <v>25</v>
      </c>
      <c r="G3" s="26" t="s">
        <v>31</v>
      </c>
      <c r="H3" s="27" t="s">
        <v>33</v>
      </c>
      <c r="I3" s="28" t="s">
        <v>27</v>
      </c>
      <c r="K3" s="25" t="s">
        <v>41</v>
      </c>
      <c r="L3" s="26" t="s">
        <v>23</v>
      </c>
      <c r="M3" s="26" t="s">
        <v>24</v>
      </c>
      <c r="N3" s="28" t="s">
        <v>25</v>
      </c>
      <c r="O3" s="27" t="s">
        <v>33</v>
      </c>
      <c r="P3" s="28" t="s">
        <v>27</v>
      </c>
      <c r="S3" s="24"/>
    </row>
    <row r="4" spans="2:19" ht="13.5" customHeight="1" thickBot="1" x14ac:dyDescent="0.35">
      <c r="B4" s="4">
        <v>2013</v>
      </c>
      <c r="C4" s="29" t="s">
        <v>29</v>
      </c>
      <c r="D4" s="30" t="s">
        <v>29</v>
      </c>
      <c r="E4" s="30" t="s">
        <v>29</v>
      </c>
      <c r="F4" s="30" t="s">
        <v>29</v>
      </c>
      <c r="G4" s="30" t="s">
        <v>29</v>
      </c>
      <c r="H4" s="31" t="s">
        <v>29</v>
      </c>
      <c r="I4" s="32" t="s">
        <v>28</v>
      </c>
      <c r="K4" s="29" t="s">
        <v>29</v>
      </c>
      <c r="L4" s="30" t="s">
        <v>29</v>
      </c>
      <c r="M4" s="30" t="s">
        <v>29</v>
      </c>
      <c r="N4" s="32" t="s">
        <v>29</v>
      </c>
      <c r="O4" s="31" t="s">
        <v>29</v>
      </c>
      <c r="P4" s="32" t="s">
        <v>28</v>
      </c>
    </row>
    <row r="5" spans="2:19" ht="13.5" customHeight="1" x14ac:dyDescent="0.3">
      <c r="B5" s="5" t="s">
        <v>1</v>
      </c>
      <c r="C5" s="45">
        <f>SUM(D5:H5)</f>
        <v>89586.503360000002</v>
      </c>
      <c r="D5" s="35">
        <v>88966.503360000002</v>
      </c>
      <c r="E5" s="35">
        <v>130</v>
      </c>
      <c r="F5" s="35"/>
      <c r="G5" s="35">
        <v>490.00000000000006</v>
      </c>
      <c r="H5" s="36"/>
      <c r="I5" s="37">
        <v>519.48051948051943</v>
      </c>
      <c r="K5" s="49">
        <f>SUM(L5:O5)</f>
        <v>14230.144976697497</v>
      </c>
      <c r="L5" s="74">
        <v>14176.939364640557</v>
      </c>
      <c r="M5" s="74">
        <v>53.205612056939998</v>
      </c>
      <c r="N5" s="75"/>
      <c r="O5" s="33"/>
      <c r="P5" s="34"/>
      <c r="Q5" s="24"/>
      <c r="R5" s="24"/>
      <c r="S5" s="24"/>
    </row>
    <row r="6" spans="2:19" ht="13.5" customHeight="1" x14ac:dyDescent="0.3">
      <c r="B6" s="7" t="s">
        <v>2</v>
      </c>
      <c r="C6" s="17"/>
      <c r="D6" s="41"/>
      <c r="E6" s="41"/>
      <c r="F6" s="41"/>
      <c r="G6" s="41"/>
      <c r="H6" s="33"/>
      <c r="I6" s="34"/>
      <c r="K6" s="49"/>
      <c r="L6" s="41"/>
      <c r="M6" s="41"/>
      <c r="N6" s="34"/>
      <c r="O6" s="33"/>
      <c r="P6" s="34">
        <v>460</v>
      </c>
      <c r="Q6" s="24"/>
      <c r="R6" s="24"/>
      <c r="S6" s="24"/>
    </row>
    <row r="7" spans="2:19" ht="13.5" customHeight="1" x14ac:dyDescent="0.3">
      <c r="B7" s="7" t="s">
        <v>3</v>
      </c>
      <c r="C7" s="17">
        <f t="shared" ref="C7:C8" si="0">SUM(D7:H7)</f>
        <v>17</v>
      </c>
      <c r="D7" s="41"/>
      <c r="E7" s="41"/>
      <c r="F7" s="41"/>
      <c r="G7" s="41">
        <v>17</v>
      </c>
      <c r="H7" s="33"/>
      <c r="I7" s="34"/>
      <c r="K7" s="49"/>
      <c r="L7" s="41"/>
      <c r="M7" s="41"/>
      <c r="N7" s="34"/>
      <c r="O7" s="33"/>
      <c r="P7" s="34"/>
      <c r="Q7" s="24"/>
      <c r="R7" s="24"/>
      <c r="S7" s="24"/>
    </row>
    <row r="8" spans="2:19" ht="13.5" customHeight="1" x14ac:dyDescent="0.3">
      <c r="B8" s="7" t="s">
        <v>4</v>
      </c>
      <c r="C8" s="17">
        <f t="shared" si="0"/>
        <v>-22</v>
      </c>
      <c r="D8" s="41">
        <v>-71</v>
      </c>
      <c r="E8" s="41">
        <v>78</v>
      </c>
      <c r="F8" s="41"/>
      <c r="G8" s="41">
        <v>-29</v>
      </c>
      <c r="H8" s="33"/>
      <c r="I8" s="34">
        <v>-64.935064935064929</v>
      </c>
      <c r="K8" s="49"/>
      <c r="L8" s="21"/>
      <c r="M8" s="21"/>
      <c r="N8" s="16"/>
      <c r="O8" s="15"/>
      <c r="P8" s="16"/>
      <c r="Q8" s="24"/>
      <c r="R8" s="24"/>
      <c r="S8" s="24"/>
    </row>
    <row r="9" spans="2:19" ht="13.5" customHeight="1" x14ac:dyDescent="0.3">
      <c r="B9" s="7" t="s">
        <v>5</v>
      </c>
      <c r="C9" s="17"/>
      <c r="D9" s="41"/>
      <c r="E9" s="41"/>
      <c r="F9" s="41"/>
      <c r="G9" s="41"/>
      <c r="H9" s="33"/>
      <c r="I9" s="34"/>
      <c r="K9" s="49"/>
      <c r="L9" s="21"/>
      <c r="M9" s="21"/>
      <c r="N9" s="16"/>
      <c r="O9" s="15"/>
      <c r="P9" s="16"/>
      <c r="Q9" s="24"/>
      <c r="R9" s="24"/>
      <c r="S9" s="24"/>
    </row>
    <row r="10" spans="2:19" ht="13.5" customHeight="1" thickBot="1" x14ac:dyDescent="0.35">
      <c r="B10" s="46" t="s">
        <v>6</v>
      </c>
      <c r="C10" s="47">
        <f>SUM(D10:H10)</f>
        <v>89547.503360000002</v>
      </c>
      <c r="D10" s="61">
        <f>D5+D6-D7+D8</f>
        <v>88895.503360000002</v>
      </c>
      <c r="E10" s="61">
        <v>208</v>
      </c>
      <c r="F10" s="61"/>
      <c r="G10" s="61">
        <v>444</v>
      </c>
      <c r="H10" s="66">
        <f>H5</f>
        <v>0</v>
      </c>
      <c r="I10" s="62">
        <v>454.5454545454545</v>
      </c>
      <c r="K10" s="51">
        <f>SUM(L10:O10)</f>
        <v>14230.144976697497</v>
      </c>
      <c r="L10" s="53">
        <v>14176.939364640557</v>
      </c>
      <c r="M10" s="53">
        <v>53.205612056939998</v>
      </c>
      <c r="N10" s="54"/>
      <c r="O10" s="52"/>
      <c r="P10" s="54">
        <v>460</v>
      </c>
      <c r="Q10" s="24"/>
      <c r="R10" s="24"/>
      <c r="S10" s="24"/>
    </row>
    <row r="11" spans="2:19" ht="13.5" customHeight="1" thickBot="1" x14ac:dyDescent="0.35">
      <c r="B11" s="8" t="s">
        <v>7</v>
      </c>
      <c r="C11" s="19"/>
      <c r="D11" s="38"/>
      <c r="E11" s="38"/>
      <c r="F11" s="38"/>
      <c r="G11" s="38"/>
      <c r="H11" s="39"/>
      <c r="I11" s="40"/>
      <c r="K11" s="55">
        <f>SUM(L11:O11)</f>
        <v>0</v>
      </c>
      <c r="L11" s="67"/>
      <c r="M11" s="67"/>
      <c r="N11" s="68"/>
      <c r="O11" s="43"/>
      <c r="P11" s="44">
        <v>-480</v>
      </c>
      <c r="Q11" s="24"/>
      <c r="R11" s="24"/>
      <c r="S11" s="24"/>
    </row>
    <row r="12" spans="2:19" ht="13.5" customHeight="1" x14ac:dyDescent="0.3">
      <c r="B12" s="7" t="s">
        <v>8</v>
      </c>
      <c r="C12" s="45"/>
      <c r="H12" s="33" t="s">
        <v>35</v>
      </c>
      <c r="I12" s="34"/>
      <c r="K12" s="49">
        <f>SUM(L12:O12)</f>
        <v>68.407215501780001</v>
      </c>
      <c r="L12" s="41">
        <v>68.407215501780001</v>
      </c>
      <c r="M12" s="41"/>
      <c r="N12" s="34"/>
      <c r="O12" s="33"/>
      <c r="P12" s="34"/>
      <c r="Q12" s="24"/>
      <c r="R12" s="24"/>
      <c r="S12" s="24"/>
    </row>
    <row r="13" spans="2:19" ht="13.5" customHeight="1" x14ac:dyDescent="0.3">
      <c r="B13" s="7" t="s">
        <v>9</v>
      </c>
      <c r="C13" s="17">
        <f>SUM(D13:H13)</f>
        <v>0</v>
      </c>
      <c r="H13" s="33"/>
      <c r="I13" s="34"/>
      <c r="K13" s="18"/>
      <c r="L13" s="21"/>
      <c r="M13" s="21"/>
      <c r="N13" s="16"/>
      <c r="O13" s="15"/>
      <c r="P13" s="16"/>
      <c r="Q13" s="24"/>
      <c r="R13" s="24"/>
      <c r="S13" s="24"/>
    </row>
    <row r="14" spans="2:19" ht="13.5" customHeight="1" x14ac:dyDescent="0.3">
      <c r="B14" s="7" t="s">
        <v>10</v>
      </c>
      <c r="C14" s="17">
        <f t="shared" ref="C14:C15" si="1">SUM(D14:H14)</f>
        <v>269</v>
      </c>
      <c r="D14" s="24">
        <v>37</v>
      </c>
      <c r="E14" s="24">
        <v>3</v>
      </c>
      <c r="G14" s="24">
        <v>229</v>
      </c>
      <c r="H14" s="33"/>
      <c r="I14" s="34"/>
      <c r="K14" s="18"/>
      <c r="L14" s="21"/>
      <c r="M14" s="21"/>
      <c r="N14" s="16"/>
      <c r="O14" s="15"/>
      <c r="P14" s="16"/>
      <c r="Q14" s="24"/>
      <c r="R14" s="24"/>
    </row>
    <row r="15" spans="2:19" ht="13.5" customHeight="1" x14ac:dyDescent="0.3">
      <c r="B15" s="7" t="s">
        <v>11</v>
      </c>
      <c r="C15" s="17">
        <f t="shared" si="1"/>
        <v>31</v>
      </c>
      <c r="D15" s="24">
        <v>31</v>
      </c>
      <c r="H15" s="33"/>
      <c r="I15" s="34"/>
      <c r="K15" s="18"/>
      <c r="L15" s="21"/>
      <c r="M15" s="21"/>
      <c r="N15" s="16"/>
      <c r="O15" s="15"/>
      <c r="P15" s="16"/>
      <c r="Q15" s="24"/>
      <c r="R15" s="24"/>
      <c r="S15" s="24"/>
    </row>
    <row r="16" spans="2:19" ht="13.5" customHeight="1" x14ac:dyDescent="0.3">
      <c r="B16" s="7" t="s">
        <v>34</v>
      </c>
      <c r="C16" s="17"/>
      <c r="H16" s="33"/>
      <c r="I16" s="34"/>
      <c r="K16" s="18"/>
      <c r="L16" s="21"/>
      <c r="M16" s="21"/>
      <c r="N16" s="16"/>
      <c r="O16" s="15"/>
      <c r="P16" s="16"/>
      <c r="Q16" s="24"/>
      <c r="R16" s="24"/>
      <c r="S16" s="24"/>
    </row>
    <row r="17" spans="2:19" ht="13.5" customHeight="1" x14ac:dyDescent="0.3">
      <c r="B17" s="7" t="s">
        <v>12</v>
      </c>
      <c r="C17" s="17"/>
      <c r="H17" s="33"/>
      <c r="I17" s="34"/>
      <c r="K17" s="18"/>
      <c r="L17" s="21"/>
      <c r="M17" s="21"/>
      <c r="N17" s="16"/>
      <c r="O17" s="15"/>
      <c r="P17" s="16"/>
      <c r="Q17" s="24"/>
      <c r="S17" s="24"/>
    </row>
    <row r="18" spans="2:19" ht="13.5" customHeight="1" x14ac:dyDescent="0.3">
      <c r="B18" s="7" t="s">
        <v>13</v>
      </c>
      <c r="C18" s="17"/>
      <c r="H18" s="33"/>
      <c r="I18" s="34"/>
      <c r="K18" s="18"/>
      <c r="L18" s="21"/>
      <c r="M18" s="21"/>
      <c r="N18" s="16"/>
      <c r="O18" s="15"/>
      <c r="P18" s="16"/>
      <c r="Q18" s="24"/>
      <c r="R18" s="24"/>
    </row>
    <row r="19" spans="2:19" ht="13.5" customHeight="1" thickBot="1" x14ac:dyDescent="0.35">
      <c r="B19" s="7" t="s">
        <v>14</v>
      </c>
      <c r="C19" s="17">
        <f t="shared" ref="C19" si="2">SUM(D19:H19)</f>
        <v>11</v>
      </c>
      <c r="D19" s="24">
        <v>11</v>
      </c>
      <c r="H19" s="33"/>
      <c r="I19" s="34"/>
      <c r="K19" s="18"/>
      <c r="L19" s="21"/>
      <c r="M19" s="21"/>
      <c r="N19" s="16"/>
      <c r="O19" s="15"/>
      <c r="P19" s="16"/>
      <c r="Q19" s="24"/>
      <c r="R19" s="24"/>
    </row>
    <row r="20" spans="2:19" ht="13.5" customHeight="1" x14ac:dyDescent="0.3">
      <c r="B20" s="9" t="s">
        <v>15</v>
      </c>
      <c r="C20" s="20">
        <f>SUM(D20:H20)</f>
        <v>10861</v>
      </c>
      <c r="D20" s="58">
        <f>SUM(D21:D26)</f>
        <v>10441</v>
      </c>
      <c r="E20" s="58">
        <v>204.99999999999997</v>
      </c>
      <c r="F20" s="58"/>
      <c r="G20" s="58">
        <v>215</v>
      </c>
      <c r="H20" s="57">
        <f>H25</f>
        <v>0</v>
      </c>
      <c r="I20" s="59">
        <v>454.54545454545456</v>
      </c>
      <c r="K20" s="56">
        <f>SUM(L20:O20)</f>
        <v>14161.737761195718</v>
      </c>
      <c r="L20" s="58">
        <f>SUM(L21:L26)</f>
        <v>14108.532149138779</v>
      </c>
      <c r="M20" s="58">
        <f>SUM(M21:M26)</f>
        <v>53.205612056939998</v>
      </c>
      <c r="N20" s="58"/>
      <c r="O20" s="57"/>
      <c r="P20" s="59">
        <f t="shared" ref="P20" si="3">SUM(P21:P26)</f>
        <v>940</v>
      </c>
      <c r="Q20" s="24"/>
    </row>
    <row r="21" spans="2:19" ht="13.5" customHeight="1" x14ac:dyDescent="0.3">
      <c r="B21" s="7" t="s">
        <v>16</v>
      </c>
      <c r="C21" s="17">
        <f t="shared" ref="C21:C26" si="4">SUM(D21:H21)</f>
        <v>35</v>
      </c>
      <c r="D21" s="41">
        <v>20</v>
      </c>
      <c r="E21" s="41">
        <v>4.9999999999999991</v>
      </c>
      <c r="F21" s="41"/>
      <c r="G21" s="41">
        <v>10</v>
      </c>
      <c r="H21" s="33"/>
      <c r="I21" s="34"/>
      <c r="K21" s="49">
        <f>SUM(L21:O21)</f>
        <v>4265.4939186048796</v>
      </c>
      <c r="L21" s="41">
        <v>4265.4939186048796</v>
      </c>
      <c r="M21" s="41"/>
      <c r="N21" s="41"/>
      <c r="O21" s="33"/>
      <c r="P21" s="34"/>
    </row>
    <row r="22" spans="2:19" ht="13.5" customHeight="1" x14ac:dyDescent="0.3">
      <c r="B22" s="7" t="s">
        <v>17</v>
      </c>
      <c r="C22" s="17"/>
      <c r="D22" s="41"/>
      <c r="E22" s="41"/>
      <c r="F22" s="41"/>
      <c r="G22" s="41"/>
      <c r="H22" s="33"/>
      <c r="I22" s="34"/>
      <c r="K22" s="18"/>
      <c r="L22" s="21"/>
      <c r="M22" s="21"/>
      <c r="N22" s="21"/>
      <c r="O22" s="15"/>
      <c r="P22" s="16"/>
    </row>
    <row r="23" spans="2:19" ht="13.5" customHeight="1" x14ac:dyDescent="0.3">
      <c r="B23" s="7" t="s">
        <v>18</v>
      </c>
      <c r="C23" s="17"/>
      <c r="D23" s="41"/>
      <c r="E23" s="41"/>
      <c r="F23" s="41"/>
      <c r="G23" s="41"/>
      <c r="H23" s="33"/>
      <c r="I23" s="34"/>
      <c r="K23" s="18"/>
      <c r="L23" s="21"/>
      <c r="M23" s="21"/>
      <c r="N23" s="21"/>
      <c r="O23" s="15"/>
      <c r="P23" s="16"/>
    </row>
    <row r="24" spans="2:19" ht="13.5" customHeight="1" x14ac:dyDescent="0.3">
      <c r="B24" s="7" t="s">
        <v>19</v>
      </c>
      <c r="C24" s="17">
        <f t="shared" si="4"/>
        <v>288</v>
      </c>
      <c r="D24" s="41">
        <v>185</v>
      </c>
      <c r="E24" s="41">
        <v>35</v>
      </c>
      <c r="F24" s="41"/>
      <c r="G24" s="41">
        <v>68</v>
      </c>
      <c r="H24" s="33"/>
      <c r="I24" s="34">
        <v>97.402597402597408</v>
      </c>
      <c r="K24" s="49">
        <f t="shared" ref="K24:K26" si="5">SUM(L24:O24)</f>
        <v>182.41924133807998</v>
      </c>
      <c r="L24" s="41">
        <v>174.81843961566</v>
      </c>
      <c r="M24" s="41">
        <v>7.6008017224199991</v>
      </c>
      <c r="N24" s="41"/>
      <c r="O24" s="33"/>
      <c r="P24" s="34">
        <v>940</v>
      </c>
      <c r="Q24" s="24"/>
      <c r="R24" s="24"/>
    </row>
    <row r="25" spans="2:19" ht="13.5" customHeight="1" x14ac:dyDescent="0.3">
      <c r="B25" s="7" t="s">
        <v>20</v>
      </c>
      <c r="C25" s="17">
        <f t="shared" si="4"/>
        <v>10506</v>
      </c>
      <c r="D25" s="41">
        <v>10208</v>
      </c>
      <c r="E25" s="41">
        <v>164</v>
      </c>
      <c r="F25" s="41"/>
      <c r="G25" s="41">
        <v>133.99999999999997</v>
      </c>
      <c r="H25" s="33"/>
      <c r="I25" s="34">
        <v>357.14285714285717</v>
      </c>
      <c r="K25" s="49">
        <f t="shared" si="5"/>
        <v>9683.4213943630784</v>
      </c>
      <c r="L25" s="41">
        <v>9637.8165840285583</v>
      </c>
      <c r="M25" s="41">
        <v>45.604810334519996</v>
      </c>
      <c r="N25" s="41"/>
      <c r="O25" s="33"/>
      <c r="P25" s="34"/>
    </row>
    <row r="26" spans="2:19" ht="13.5" customHeight="1" thickBot="1" x14ac:dyDescent="0.35">
      <c r="B26" s="8" t="s">
        <v>21</v>
      </c>
      <c r="C26" s="17">
        <f t="shared" si="4"/>
        <v>32</v>
      </c>
      <c r="D26" s="38">
        <v>28</v>
      </c>
      <c r="E26" s="38">
        <v>1</v>
      </c>
      <c r="F26" s="38"/>
      <c r="G26" s="38">
        <v>3</v>
      </c>
      <c r="H26" s="39"/>
      <c r="I26" s="40"/>
      <c r="K26" s="50">
        <f t="shared" si="5"/>
        <v>30.403206889679996</v>
      </c>
      <c r="L26" s="38">
        <v>30.403206889679996</v>
      </c>
      <c r="M26" s="38"/>
      <c r="N26" s="38"/>
      <c r="O26" s="39"/>
      <c r="P26" s="40"/>
    </row>
    <row r="27" spans="2:19" ht="13.5" customHeight="1" thickBot="1" x14ac:dyDescent="0.35">
      <c r="B27" s="10" t="s">
        <v>22</v>
      </c>
      <c r="C27" s="22"/>
      <c r="D27" s="42">
        <v>10405</v>
      </c>
      <c r="E27" s="42">
        <v>9400</v>
      </c>
      <c r="F27" s="42"/>
      <c r="G27" s="42">
        <v>14670</v>
      </c>
      <c r="H27" s="43"/>
      <c r="I27" s="44">
        <v>30800</v>
      </c>
      <c r="L27" s="43">
        <v>14581.873807999998</v>
      </c>
      <c r="M27" s="42">
        <v>14581.873807999998</v>
      </c>
      <c r="N27" s="42"/>
      <c r="O27" s="43"/>
      <c r="P27" s="44">
        <v>30000</v>
      </c>
    </row>
    <row r="28" spans="2:19" ht="15" customHeight="1" x14ac:dyDescent="0.3">
      <c r="D28" s="24" t="s">
        <v>70</v>
      </c>
      <c r="E28" s="24" t="s">
        <v>72</v>
      </c>
      <c r="G28" s="24" t="s">
        <v>71</v>
      </c>
    </row>
    <row r="30" spans="2:19" x14ac:dyDescent="0.3">
      <c r="B30" s="11"/>
      <c r="C30" s="13"/>
    </row>
    <row r="33" spans="2:3" x14ac:dyDescent="0.3">
      <c r="B33" s="12"/>
    </row>
    <row r="34" spans="2:3" x14ac:dyDescent="0.3">
      <c r="B34" s="12"/>
    </row>
    <row r="35" spans="2:3" x14ac:dyDescent="0.3">
      <c r="B35" s="12"/>
    </row>
    <row r="36" spans="2:3" x14ac:dyDescent="0.3">
      <c r="B36" s="13"/>
      <c r="C36" s="13"/>
    </row>
    <row r="37" spans="2:3" x14ac:dyDescent="0.3">
      <c r="B37" s="12"/>
    </row>
    <row r="38" spans="2:3" x14ac:dyDescent="0.3">
      <c r="B38" s="6"/>
      <c r="C38" s="6"/>
    </row>
    <row r="39" spans="2:3" x14ac:dyDescent="0.3">
      <c r="B39" s="6"/>
      <c r="C39" s="6"/>
    </row>
    <row r="40" spans="2:3" x14ac:dyDescent="0.3">
      <c r="B40" s="6"/>
      <c r="C40" s="6"/>
    </row>
    <row r="41" spans="2:3" x14ac:dyDescent="0.3">
      <c r="B41" s="6"/>
      <c r="C41" s="6"/>
    </row>
    <row r="42" spans="2:3" x14ac:dyDescent="0.3">
      <c r="B42" s="6"/>
      <c r="C42" s="6"/>
    </row>
    <row r="43" spans="2:3" x14ac:dyDescent="0.3">
      <c r="B43" s="12"/>
    </row>
    <row r="44" spans="2:3" x14ac:dyDescent="0.3">
      <c r="B44" s="12"/>
    </row>
    <row r="45" spans="2:3" x14ac:dyDescent="0.3">
      <c r="B45" s="12"/>
    </row>
    <row r="46" spans="2:3" x14ac:dyDescent="0.3">
      <c r="B46" s="13"/>
      <c r="C46" s="13"/>
    </row>
    <row r="47" spans="2:3" x14ac:dyDescent="0.3">
      <c r="B47" s="14"/>
      <c r="C47" s="14"/>
    </row>
    <row r="48" spans="2:3" x14ac:dyDescent="0.3">
      <c r="B48" s="14"/>
      <c r="C48" s="14"/>
    </row>
    <row r="49" spans="2:3" x14ac:dyDescent="0.3">
      <c r="B49" s="14"/>
      <c r="C49" s="14"/>
    </row>
    <row r="50" spans="2:3" x14ac:dyDescent="0.3">
      <c r="B50" s="14"/>
      <c r="C50" s="14"/>
    </row>
    <row r="51" spans="2:3" x14ac:dyDescent="0.3">
      <c r="B51" s="14"/>
      <c r="C51" s="14"/>
    </row>
    <row r="52" spans="2:3" x14ac:dyDescent="0.3">
      <c r="B52" s="14"/>
      <c r="C52" s="14"/>
    </row>
    <row r="53" spans="2:3" x14ac:dyDescent="0.3">
      <c r="B53" s="14"/>
      <c r="C53" s="14"/>
    </row>
    <row r="54" spans="2:3" x14ac:dyDescent="0.3">
      <c r="B54" s="12"/>
    </row>
  </sheetData>
  <mergeCells count="2">
    <mergeCell ref="C2:I2"/>
    <mergeCell ref="K2:P2"/>
  </mergeCells>
  <printOptions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tabSelected="1" zoomScale="70" zoomScaleNormal="70" workbookViewId="0">
      <selection activeCell="C11" sqref="C11"/>
    </sheetView>
  </sheetViews>
  <sheetFormatPr defaultRowHeight="13" x14ac:dyDescent="0.3"/>
  <cols>
    <col min="1" max="1" width="3.26953125" style="2" customWidth="1"/>
    <col min="2" max="2" width="22.26953125" style="1" customWidth="1"/>
    <col min="3" max="3" width="7.81640625" style="12" customWidth="1"/>
    <col min="4" max="4" width="8.81640625" style="24" customWidth="1"/>
    <col min="5" max="5" width="6.81640625" style="24" customWidth="1"/>
    <col min="6" max="10" width="7.81640625" style="24" customWidth="1"/>
    <col min="11" max="11" width="2.453125" style="2" customWidth="1"/>
    <col min="12" max="18" width="8.7265625" style="2"/>
    <col min="19" max="19" width="2.90625" style="2" customWidth="1"/>
    <col min="20" max="16384" width="8.7265625" style="2"/>
  </cols>
  <sheetData>
    <row r="1" spans="1:24" ht="13.5" customHeight="1" thickBot="1" x14ac:dyDescent="0.35">
      <c r="A1" s="121"/>
      <c r="B1" s="137" t="s">
        <v>36</v>
      </c>
      <c r="C1" s="123"/>
      <c r="D1" s="124"/>
      <c r="E1" s="124"/>
      <c r="F1" s="124"/>
      <c r="G1" s="124"/>
      <c r="H1" s="124"/>
      <c r="I1" s="124"/>
      <c r="J1" s="124"/>
      <c r="K1" s="121"/>
      <c r="L1" s="121"/>
      <c r="M1" s="121"/>
      <c r="N1" s="121"/>
      <c r="O1" s="121"/>
      <c r="P1" s="121"/>
      <c r="Q1" s="121"/>
      <c r="R1" s="121"/>
      <c r="S1" s="121"/>
    </row>
    <row r="2" spans="1:24" ht="13.5" customHeight="1" thickBot="1" x14ac:dyDescent="0.35">
      <c r="A2" s="121"/>
      <c r="B2" s="122"/>
      <c r="C2" s="202" t="s">
        <v>38</v>
      </c>
      <c r="D2" s="203"/>
      <c r="E2" s="203"/>
      <c r="F2" s="203"/>
      <c r="G2" s="203"/>
      <c r="H2" s="203"/>
      <c r="I2" s="203"/>
      <c r="J2" s="204"/>
      <c r="K2" s="121"/>
      <c r="L2" s="205" t="s">
        <v>76</v>
      </c>
      <c r="M2" s="206"/>
      <c r="N2" s="206"/>
      <c r="O2" s="206"/>
      <c r="P2" s="206"/>
      <c r="Q2" s="206"/>
      <c r="R2" s="207"/>
      <c r="S2" s="121"/>
    </row>
    <row r="3" spans="1:24" ht="39.5" customHeight="1" x14ac:dyDescent="0.3">
      <c r="A3" s="121"/>
      <c r="B3" s="138" t="s">
        <v>0</v>
      </c>
      <c r="C3" s="139" t="s">
        <v>30</v>
      </c>
      <c r="D3" s="140" t="s">
        <v>23</v>
      </c>
      <c r="E3" s="140" t="s">
        <v>25</v>
      </c>
      <c r="F3" s="140" t="s">
        <v>26</v>
      </c>
      <c r="G3" s="140" t="s">
        <v>31</v>
      </c>
      <c r="H3" s="140" t="s">
        <v>32</v>
      </c>
      <c r="I3" s="141" t="s">
        <v>33</v>
      </c>
      <c r="J3" s="142" t="s">
        <v>27</v>
      </c>
      <c r="K3" s="121"/>
      <c r="L3" s="139" t="s">
        <v>41</v>
      </c>
      <c r="M3" s="139" t="s">
        <v>39</v>
      </c>
      <c r="N3" s="140" t="s">
        <v>23</v>
      </c>
      <c r="O3" s="140" t="s">
        <v>24</v>
      </c>
      <c r="P3" s="142" t="s">
        <v>25</v>
      </c>
      <c r="Q3" s="141" t="s">
        <v>33</v>
      </c>
      <c r="R3" s="142" t="s">
        <v>27</v>
      </c>
      <c r="S3" s="121"/>
    </row>
    <row r="4" spans="1:24" ht="13.5" customHeight="1" thickBot="1" x14ac:dyDescent="0.35">
      <c r="A4" s="121"/>
      <c r="B4" s="143">
        <v>2013</v>
      </c>
      <c r="C4" s="144" t="s">
        <v>29</v>
      </c>
      <c r="D4" s="145" t="s">
        <v>29</v>
      </c>
      <c r="E4" s="145" t="s">
        <v>29</v>
      </c>
      <c r="F4" s="145" t="s">
        <v>29</v>
      </c>
      <c r="G4" s="145" t="s">
        <v>29</v>
      </c>
      <c r="H4" s="145" t="s">
        <v>29</v>
      </c>
      <c r="I4" s="146" t="s">
        <v>29</v>
      </c>
      <c r="J4" s="147" t="s">
        <v>28</v>
      </c>
      <c r="K4" s="121"/>
      <c r="L4" s="144" t="s">
        <v>29</v>
      </c>
      <c r="M4" s="144" t="s">
        <v>29</v>
      </c>
      <c r="N4" s="145" t="s">
        <v>29</v>
      </c>
      <c r="O4" s="145" t="s">
        <v>29</v>
      </c>
      <c r="P4" s="147" t="s">
        <v>29</v>
      </c>
      <c r="Q4" s="148" t="s">
        <v>29</v>
      </c>
      <c r="R4" s="149" t="s">
        <v>28</v>
      </c>
      <c r="S4" s="121"/>
      <c r="V4" s="2" t="s">
        <v>80</v>
      </c>
      <c r="W4" s="2" t="s">
        <v>81</v>
      </c>
      <c r="X4" s="2" t="s">
        <v>82</v>
      </c>
    </row>
    <row r="5" spans="1:24" ht="13.5" customHeight="1" x14ac:dyDescent="0.3">
      <c r="A5" s="121"/>
      <c r="B5" s="150" t="s">
        <v>1</v>
      </c>
      <c r="C5" s="151">
        <v>58134</v>
      </c>
      <c r="D5" s="152">
        <v>88966.503360000002</v>
      </c>
      <c r="E5" s="152">
        <v>1735</v>
      </c>
      <c r="F5" s="152">
        <v>0</v>
      </c>
      <c r="G5" s="152">
        <v>3292</v>
      </c>
      <c r="H5" s="152">
        <v>133</v>
      </c>
      <c r="I5" s="153">
        <v>3089</v>
      </c>
      <c r="J5" s="154"/>
      <c r="K5" s="121"/>
      <c r="L5" s="155">
        <f>SUM(N5:Q5)</f>
        <v>16722.584999999999</v>
      </c>
      <c r="M5" s="155">
        <f>SUM(N5:O5,Q5)</f>
        <v>16722.584999999999</v>
      </c>
      <c r="N5" s="153">
        <f>W7*N$27/1000000*0.75</f>
        <v>10123.785</v>
      </c>
      <c r="O5" s="156"/>
      <c r="P5" s="156"/>
      <c r="Q5" s="153">
        <f>X7*Q$27/1000000</f>
        <v>6598.8</v>
      </c>
      <c r="R5" s="154">
        <f>V7</f>
        <v>0</v>
      </c>
      <c r="S5" s="121"/>
      <c r="U5" s="2" t="s">
        <v>79</v>
      </c>
      <c r="V5" s="24">
        <v>40060</v>
      </c>
      <c r="W5" s="24">
        <v>25400</v>
      </c>
      <c r="X5" s="24">
        <v>394221</v>
      </c>
    </row>
    <row r="6" spans="1:24" ht="13.5" customHeight="1" x14ac:dyDescent="0.3">
      <c r="A6" s="121"/>
      <c r="B6" s="157" t="s">
        <v>2</v>
      </c>
      <c r="C6" s="158">
        <v>26264</v>
      </c>
      <c r="D6" s="159"/>
      <c r="E6" s="159"/>
      <c r="F6" s="159"/>
      <c r="G6" s="159"/>
      <c r="H6" s="159"/>
      <c r="I6" s="160"/>
      <c r="J6" s="161">
        <v>9000</v>
      </c>
      <c r="K6" s="121"/>
      <c r="L6" s="155">
        <f>SUM(N6:Q6)</f>
        <v>19224.12816</v>
      </c>
      <c r="M6" s="155"/>
      <c r="N6" s="160">
        <f>W6*N$27/1000000*0.75</f>
        <v>4060.6271999999999</v>
      </c>
      <c r="O6" s="159"/>
      <c r="P6" s="159"/>
      <c r="Q6" s="160">
        <f>X6*Q$27/1000000</f>
        <v>15163.500959999999</v>
      </c>
      <c r="R6" s="161">
        <f>V6</f>
        <v>67720</v>
      </c>
      <c r="S6" s="121"/>
      <c r="U6" s="2" t="s">
        <v>78</v>
      </c>
      <c r="V6" s="24">
        <v>67720</v>
      </c>
      <c r="W6" s="24">
        <v>358080</v>
      </c>
      <c r="X6" s="24">
        <v>896188</v>
      </c>
    </row>
    <row r="7" spans="1:24" ht="13.5" customHeight="1" x14ac:dyDescent="0.3">
      <c r="A7" s="121"/>
      <c r="B7" s="157" t="s">
        <v>3</v>
      </c>
      <c r="C7" s="158">
        <v>0</v>
      </c>
      <c r="D7" s="159"/>
      <c r="E7" s="159"/>
      <c r="F7" s="159"/>
      <c r="G7" s="159"/>
      <c r="H7" s="159"/>
      <c r="I7" s="160"/>
      <c r="J7" s="161" t="s">
        <v>35</v>
      </c>
      <c r="K7" s="121"/>
      <c r="L7" s="155">
        <f>SUM(N7:Q7)</f>
        <v>6958.2553200000002</v>
      </c>
      <c r="M7" s="155"/>
      <c r="N7" s="160">
        <f>W5*N$27/1000000*0.75</f>
        <v>288.036</v>
      </c>
      <c r="O7" s="159"/>
      <c r="P7" s="159"/>
      <c r="Q7" s="160">
        <f>X5*Q$27/1000000</f>
        <v>6670.2193200000002</v>
      </c>
      <c r="R7" s="161">
        <f>V5</f>
        <v>40060</v>
      </c>
      <c r="S7" s="121"/>
      <c r="U7" s="2" t="s">
        <v>77</v>
      </c>
      <c r="V7" s="2">
        <v>0</v>
      </c>
      <c r="W7" s="24">
        <v>892750</v>
      </c>
      <c r="X7" s="24">
        <v>390000</v>
      </c>
    </row>
    <row r="8" spans="1:24" ht="13.5" customHeight="1" x14ac:dyDescent="0.3">
      <c r="A8" s="121"/>
      <c r="B8" s="157" t="s">
        <v>4</v>
      </c>
      <c r="C8" s="158">
        <v>0</v>
      </c>
      <c r="D8" s="159"/>
      <c r="E8" s="159"/>
      <c r="F8" s="159"/>
      <c r="G8" s="159"/>
      <c r="H8" s="159"/>
      <c r="I8" s="160"/>
      <c r="J8" s="161" t="s">
        <v>35</v>
      </c>
      <c r="K8" s="121"/>
      <c r="L8" s="155"/>
      <c r="M8" s="155"/>
      <c r="N8" s="162"/>
      <c r="O8" s="162"/>
      <c r="P8" s="162"/>
      <c r="Q8" s="163"/>
      <c r="R8" s="164"/>
      <c r="S8" s="121"/>
    </row>
    <row r="9" spans="1:24" ht="13.5" customHeight="1" x14ac:dyDescent="0.3">
      <c r="A9" s="121"/>
      <c r="B9" s="157" t="s">
        <v>5</v>
      </c>
      <c r="C9" s="158"/>
      <c r="D9" s="159"/>
      <c r="E9" s="159"/>
      <c r="F9" s="159"/>
      <c r="G9" s="159"/>
      <c r="H9" s="159"/>
      <c r="I9" s="160"/>
      <c r="J9" s="161"/>
      <c r="K9" s="121"/>
      <c r="L9" s="155"/>
      <c r="M9" s="155"/>
      <c r="N9" s="162"/>
      <c r="O9" s="162"/>
      <c r="P9" s="162"/>
      <c r="Q9" s="163"/>
      <c r="R9" s="164"/>
      <c r="S9" s="121"/>
    </row>
    <row r="10" spans="1:24" ht="13.5" customHeight="1" thickBot="1" x14ac:dyDescent="0.35">
      <c r="A10" s="121"/>
      <c r="B10" s="165" t="s">
        <v>6</v>
      </c>
      <c r="C10" s="166">
        <f>SUM(D10:H10)</f>
        <v>89099.503360000002</v>
      </c>
      <c r="D10" s="167">
        <f>D5+D6-D7+D8</f>
        <v>88966.503360000002</v>
      </c>
      <c r="E10" s="167"/>
      <c r="F10" s="167"/>
      <c r="G10" s="167"/>
      <c r="H10" s="167">
        <f>H5</f>
        <v>133</v>
      </c>
      <c r="I10" s="168"/>
      <c r="J10" s="169">
        <v>9000</v>
      </c>
      <c r="K10" s="121"/>
      <c r="L10" s="170">
        <f>SUM(N10:Q10)</f>
        <v>28988.457839999999</v>
      </c>
      <c r="M10" s="170"/>
      <c r="N10" s="171">
        <f>N5+N6-N7</f>
        <v>13896.376199999999</v>
      </c>
      <c r="O10" s="172"/>
      <c r="P10" s="172"/>
      <c r="Q10" s="171">
        <f>Q5+Q6-Q7</f>
        <v>15092.08164</v>
      </c>
      <c r="R10" s="169">
        <f>R5+R6-R7</f>
        <v>27660</v>
      </c>
      <c r="S10" s="121"/>
    </row>
    <row r="11" spans="1:24" ht="13.5" customHeight="1" thickBot="1" x14ac:dyDescent="0.35">
      <c r="A11" s="121"/>
      <c r="B11" s="173" t="s">
        <v>7</v>
      </c>
      <c r="C11" s="174">
        <v>1</v>
      </c>
      <c r="D11" s="167"/>
      <c r="E11" s="167"/>
      <c r="F11" s="167"/>
      <c r="G11" s="167"/>
      <c r="H11" s="167"/>
      <c r="I11" s="168"/>
      <c r="J11" s="175" t="s">
        <v>35</v>
      </c>
      <c r="K11" s="121"/>
      <c r="L11" s="176">
        <f>SUM(N11:Q11)</f>
        <v>0</v>
      </c>
      <c r="M11" s="176"/>
      <c r="N11" s="177"/>
      <c r="O11" s="177"/>
      <c r="P11" s="178"/>
      <c r="Q11" s="168"/>
      <c r="R11" s="175"/>
      <c r="S11" s="121"/>
    </row>
    <row r="12" spans="1:24" ht="13.5" customHeight="1" x14ac:dyDescent="0.3">
      <c r="A12" s="121"/>
      <c r="B12" s="157" t="s">
        <v>8</v>
      </c>
      <c r="C12" s="158">
        <v>22166</v>
      </c>
      <c r="D12" s="124"/>
      <c r="E12" s="124"/>
      <c r="F12" s="124"/>
      <c r="G12" s="124"/>
      <c r="H12" s="124"/>
      <c r="I12" s="160"/>
      <c r="J12" s="161" t="s">
        <v>35</v>
      </c>
      <c r="K12" s="121"/>
      <c r="L12" s="155"/>
      <c r="M12" s="155"/>
      <c r="N12" s="159"/>
      <c r="O12" s="159"/>
      <c r="P12" s="161"/>
      <c r="Q12" s="160"/>
      <c r="R12" s="161"/>
      <c r="S12" s="121"/>
    </row>
    <row r="13" spans="1:24" ht="13.5" customHeight="1" x14ac:dyDescent="0.3">
      <c r="A13" s="121"/>
      <c r="B13" s="157" t="s">
        <v>9</v>
      </c>
      <c r="C13" s="158">
        <f>SUM(D13:H13)</f>
        <v>0</v>
      </c>
      <c r="D13" s="124"/>
      <c r="E13" s="124"/>
      <c r="F13" s="124"/>
      <c r="G13" s="124"/>
      <c r="H13" s="124"/>
      <c r="I13" s="160"/>
      <c r="J13" s="161" t="s">
        <v>35</v>
      </c>
      <c r="K13" s="121"/>
      <c r="L13" s="179"/>
      <c r="M13" s="179"/>
      <c r="N13" s="162"/>
      <c r="O13" s="162"/>
      <c r="P13" s="164"/>
      <c r="Q13" s="163"/>
      <c r="R13" s="164"/>
      <c r="S13" s="121"/>
    </row>
    <row r="14" spans="1:24" ht="13.5" customHeight="1" x14ac:dyDescent="0.3">
      <c r="A14" s="121"/>
      <c r="B14" s="157" t="s">
        <v>10</v>
      </c>
      <c r="C14" s="158">
        <v>0</v>
      </c>
      <c r="D14" s="124"/>
      <c r="E14" s="124"/>
      <c r="F14" s="124"/>
      <c r="G14" s="124"/>
      <c r="H14" s="124"/>
      <c r="I14" s="160"/>
      <c r="J14" s="161" t="s">
        <v>35</v>
      </c>
      <c r="K14" s="121"/>
      <c r="L14" s="179"/>
      <c r="M14" s="179"/>
      <c r="N14" s="162"/>
      <c r="O14" s="162"/>
      <c r="P14" s="164"/>
      <c r="Q14" s="163"/>
      <c r="R14" s="164"/>
      <c r="S14" s="121"/>
    </row>
    <row r="15" spans="1:24" ht="13.5" customHeight="1" x14ac:dyDescent="0.3">
      <c r="A15" s="121"/>
      <c r="B15" s="157" t="s">
        <v>11</v>
      </c>
      <c r="C15" s="158">
        <v>0</v>
      </c>
      <c r="D15" s="124"/>
      <c r="E15" s="124"/>
      <c r="F15" s="124"/>
      <c r="G15" s="124"/>
      <c r="H15" s="124"/>
      <c r="I15" s="160"/>
      <c r="J15" s="161"/>
      <c r="K15" s="121"/>
      <c r="L15" s="179"/>
      <c r="M15" s="179"/>
      <c r="N15" s="162"/>
      <c r="O15" s="162"/>
      <c r="P15" s="164"/>
      <c r="Q15" s="163"/>
      <c r="R15" s="164"/>
      <c r="S15" s="121"/>
    </row>
    <row r="16" spans="1:24" ht="13.5" customHeight="1" x14ac:dyDescent="0.3">
      <c r="A16" s="121"/>
      <c r="B16" s="157" t="s">
        <v>34</v>
      </c>
      <c r="C16" s="158"/>
      <c r="D16" s="124"/>
      <c r="E16" s="124"/>
      <c r="F16" s="124"/>
      <c r="G16" s="124"/>
      <c r="H16" s="124"/>
      <c r="I16" s="160"/>
      <c r="J16" s="161"/>
      <c r="K16" s="121"/>
      <c r="L16" s="179"/>
      <c r="M16" s="179"/>
      <c r="N16" s="162"/>
      <c r="O16" s="162"/>
      <c r="P16" s="164"/>
      <c r="Q16" s="163"/>
      <c r="R16" s="164"/>
      <c r="S16" s="121"/>
    </row>
    <row r="17" spans="1:19" ht="13.5" customHeight="1" x14ac:dyDescent="0.3">
      <c r="A17" s="121"/>
      <c r="B17" s="157" t="s">
        <v>12</v>
      </c>
      <c r="C17" s="158">
        <v>0</v>
      </c>
      <c r="D17" s="124"/>
      <c r="E17" s="124"/>
      <c r="F17" s="124"/>
      <c r="G17" s="124"/>
      <c r="H17" s="124"/>
      <c r="I17" s="160"/>
      <c r="J17" s="161" t="s">
        <v>35</v>
      </c>
      <c r="K17" s="121"/>
      <c r="L17" s="179"/>
      <c r="M17" s="179"/>
      <c r="N17" s="162"/>
      <c r="O17" s="162"/>
      <c r="P17" s="164"/>
      <c r="Q17" s="163"/>
      <c r="R17" s="164"/>
      <c r="S17" s="121"/>
    </row>
    <row r="18" spans="1:19" ht="13.5" customHeight="1" x14ac:dyDescent="0.3">
      <c r="A18" s="121"/>
      <c r="B18" s="157" t="s">
        <v>13</v>
      </c>
      <c r="C18" s="158">
        <v>0</v>
      </c>
      <c r="D18" s="124"/>
      <c r="E18" s="124"/>
      <c r="F18" s="124"/>
      <c r="G18" s="124"/>
      <c r="H18" s="124"/>
      <c r="I18" s="160"/>
      <c r="J18" s="161" t="s">
        <v>35</v>
      </c>
      <c r="K18" s="121"/>
      <c r="L18" s="179"/>
      <c r="M18" s="179"/>
      <c r="N18" s="162"/>
      <c r="O18" s="162"/>
      <c r="P18" s="164"/>
      <c r="Q18" s="163"/>
      <c r="R18" s="164"/>
      <c r="S18" s="121"/>
    </row>
    <row r="19" spans="1:19" ht="13.5" customHeight="1" thickBot="1" x14ac:dyDescent="0.35">
      <c r="A19" s="121"/>
      <c r="B19" s="157" t="s">
        <v>14</v>
      </c>
      <c r="C19" s="158">
        <v>0</v>
      </c>
      <c r="D19" s="124"/>
      <c r="E19" s="124"/>
      <c r="F19" s="124"/>
      <c r="G19" s="124"/>
      <c r="H19" s="124"/>
      <c r="I19" s="160"/>
      <c r="J19" s="161" t="s">
        <v>35</v>
      </c>
      <c r="K19" s="121"/>
      <c r="L19" s="179"/>
      <c r="M19" s="179"/>
      <c r="N19" s="162"/>
      <c r="O19" s="162"/>
      <c r="P19" s="164"/>
      <c r="Q19" s="163"/>
      <c r="R19" s="164"/>
      <c r="S19" s="121"/>
    </row>
    <row r="20" spans="1:19" ht="13.5" customHeight="1" x14ac:dyDescent="0.3">
      <c r="A20" s="121"/>
      <c r="B20" s="180" t="s">
        <v>15</v>
      </c>
      <c r="C20" s="181">
        <f>SUM(D20:H20)</f>
        <v>0</v>
      </c>
      <c r="D20" s="152">
        <f>SUM(D21:D26)</f>
        <v>0</v>
      </c>
      <c r="E20" s="152"/>
      <c r="F20" s="152"/>
      <c r="G20" s="152"/>
      <c r="H20" s="152">
        <f>H25</f>
        <v>0</v>
      </c>
      <c r="I20" s="153"/>
      <c r="J20" s="182">
        <v>9000</v>
      </c>
      <c r="K20" s="121"/>
      <c r="L20" s="183"/>
      <c r="M20" s="183"/>
      <c r="N20" s="184"/>
      <c r="O20" s="184"/>
      <c r="P20" s="184"/>
      <c r="Q20" s="185"/>
      <c r="R20" s="182"/>
      <c r="S20" s="121"/>
    </row>
    <row r="21" spans="1:19" ht="13.5" customHeight="1" x14ac:dyDescent="0.3">
      <c r="A21" s="121"/>
      <c r="B21" s="157" t="s">
        <v>16</v>
      </c>
      <c r="C21" s="158">
        <v>26418</v>
      </c>
      <c r="D21" s="159"/>
      <c r="E21" s="159"/>
      <c r="F21" s="159"/>
      <c r="G21" s="159"/>
      <c r="H21" s="159"/>
      <c r="I21" s="160"/>
      <c r="J21" s="161" t="s">
        <v>35</v>
      </c>
      <c r="K21" s="121"/>
      <c r="L21" s="155"/>
      <c r="M21" s="155"/>
      <c r="N21" s="159"/>
      <c r="O21" s="159"/>
      <c r="P21" s="159"/>
      <c r="Q21" s="160"/>
      <c r="R21" s="161"/>
      <c r="S21" s="121"/>
    </row>
    <row r="22" spans="1:19" ht="13.5" customHeight="1" x14ac:dyDescent="0.3">
      <c r="A22" s="121"/>
      <c r="B22" s="157" t="s">
        <v>17</v>
      </c>
      <c r="C22" s="158">
        <v>0</v>
      </c>
      <c r="D22" s="159"/>
      <c r="E22" s="159"/>
      <c r="F22" s="159"/>
      <c r="G22" s="159"/>
      <c r="H22" s="159"/>
      <c r="I22" s="160"/>
      <c r="J22" s="161" t="s">
        <v>35</v>
      </c>
      <c r="K22" s="121"/>
      <c r="L22" s="179"/>
      <c r="M22" s="179"/>
      <c r="N22" s="162"/>
      <c r="O22" s="162"/>
      <c r="P22" s="162"/>
      <c r="Q22" s="163"/>
      <c r="R22" s="164"/>
      <c r="S22" s="121"/>
    </row>
    <row r="23" spans="1:19" ht="13.5" customHeight="1" x14ac:dyDescent="0.3">
      <c r="A23" s="121"/>
      <c r="B23" s="157" t="s">
        <v>18</v>
      </c>
      <c r="C23" s="158">
        <v>0</v>
      </c>
      <c r="D23" s="159"/>
      <c r="E23" s="159"/>
      <c r="F23" s="159"/>
      <c r="G23" s="159"/>
      <c r="H23" s="159"/>
      <c r="I23" s="160"/>
      <c r="J23" s="161" t="s">
        <v>35</v>
      </c>
      <c r="K23" s="121"/>
      <c r="L23" s="179"/>
      <c r="M23" s="179"/>
      <c r="N23" s="162"/>
      <c r="O23" s="162"/>
      <c r="P23" s="162"/>
      <c r="Q23" s="163"/>
      <c r="R23" s="164"/>
      <c r="S23" s="121"/>
    </row>
    <row r="24" spans="1:19" ht="13.5" customHeight="1" x14ac:dyDescent="0.3">
      <c r="A24" s="121"/>
      <c r="B24" s="157" t="s">
        <v>19</v>
      </c>
      <c r="C24" s="158">
        <v>810</v>
      </c>
      <c r="D24" s="159"/>
      <c r="E24" s="159"/>
      <c r="F24" s="159"/>
      <c r="G24" s="159"/>
      <c r="H24" s="159"/>
      <c r="I24" s="160"/>
      <c r="J24" s="161">
        <v>1000</v>
      </c>
      <c r="K24" s="121"/>
      <c r="L24" s="155"/>
      <c r="M24" s="155"/>
      <c r="N24" s="159"/>
      <c r="O24" s="159"/>
      <c r="P24" s="159"/>
      <c r="Q24" s="160"/>
      <c r="R24" s="161"/>
      <c r="S24" s="121"/>
    </row>
    <row r="25" spans="1:19" ht="13.5" customHeight="1" x14ac:dyDescent="0.3">
      <c r="A25" s="121"/>
      <c r="B25" s="157" t="s">
        <v>20</v>
      </c>
      <c r="C25" s="158">
        <v>25346</v>
      </c>
      <c r="D25" s="159"/>
      <c r="E25" s="159"/>
      <c r="F25" s="159"/>
      <c r="G25" s="159"/>
      <c r="H25" s="159"/>
      <c r="I25" s="160"/>
      <c r="J25" s="161">
        <v>8000</v>
      </c>
      <c r="K25" s="121"/>
      <c r="L25" s="155"/>
      <c r="M25" s="155"/>
      <c r="N25" s="159"/>
      <c r="O25" s="159"/>
      <c r="P25" s="159"/>
      <c r="Q25" s="160"/>
      <c r="R25" s="161"/>
      <c r="S25" s="121"/>
    </row>
    <row r="26" spans="1:19" ht="13.5" customHeight="1" thickBot="1" x14ac:dyDescent="0.35">
      <c r="A26" s="121"/>
      <c r="B26" s="173" t="s">
        <v>21</v>
      </c>
      <c r="C26" s="174">
        <v>486</v>
      </c>
      <c r="D26" s="167"/>
      <c r="E26" s="167"/>
      <c r="F26" s="167"/>
      <c r="G26" s="167"/>
      <c r="H26" s="167"/>
      <c r="I26" s="168"/>
      <c r="J26" s="175"/>
      <c r="K26" s="121"/>
      <c r="L26" s="186"/>
      <c r="M26" s="186"/>
      <c r="N26" s="167"/>
      <c r="O26" s="167"/>
      <c r="P26" s="167"/>
      <c r="Q26" s="168"/>
      <c r="R26" s="175"/>
      <c r="S26" s="121"/>
    </row>
    <row r="27" spans="1:19" ht="13.5" customHeight="1" thickBot="1" x14ac:dyDescent="0.35">
      <c r="A27" s="121"/>
      <c r="B27" s="187" t="s">
        <v>22</v>
      </c>
      <c r="C27" s="188"/>
      <c r="D27" s="177"/>
      <c r="E27" s="177"/>
      <c r="F27" s="177"/>
      <c r="G27" s="177"/>
      <c r="H27" s="177"/>
      <c r="I27" s="189"/>
      <c r="J27" s="178">
        <v>29300</v>
      </c>
      <c r="K27" s="121"/>
      <c r="L27" s="121"/>
      <c r="M27" s="121"/>
      <c r="N27" s="189">
        <v>15120</v>
      </c>
      <c r="O27" s="177"/>
      <c r="P27" s="177"/>
      <c r="Q27" s="189">
        <v>16920</v>
      </c>
      <c r="R27" s="178"/>
      <c r="S27" s="121"/>
    </row>
    <row r="28" spans="1:19" ht="15" customHeight="1" x14ac:dyDescent="0.3">
      <c r="A28" s="121"/>
      <c r="B28" s="122"/>
      <c r="C28" s="123"/>
      <c r="D28" s="124"/>
      <c r="E28" s="124"/>
      <c r="F28" s="124"/>
      <c r="G28" s="124"/>
      <c r="H28" s="124"/>
      <c r="I28" s="124"/>
      <c r="J28" s="124"/>
      <c r="K28" s="121"/>
      <c r="L28" s="121"/>
      <c r="M28" s="121"/>
      <c r="N28" s="121"/>
      <c r="O28" s="121"/>
      <c r="P28" s="121"/>
      <c r="Q28" s="121"/>
      <c r="R28" s="121"/>
      <c r="S28" s="121"/>
    </row>
    <row r="30" spans="1:19" x14ac:dyDescent="0.3">
      <c r="B30" s="11"/>
      <c r="C30" s="13"/>
    </row>
    <row r="33" spans="2:3" x14ac:dyDescent="0.3">
      <c r="B33" s="12"/>
    </row>
    <row r="34" spans="2:3" x14ac:dyDescent="0.3">
      <c r="B34" s="12"/>
    </row>
    <row r="35" spans="2:3" x14ac:dyDescent="0.3">
      <c r="B35" s="12"/>
    </row>
    <row r="36" spans="2:3" x14ac:dyDescent="0.3">
      <c r="B36" s="13"/>
      <c r="C36" s="13"/>
    </row>
    <row r="37" spans="2:3" x14ac:dyDescent="0.3">
      <c r="B37" s="12"/>
    </row>
    <row r="38" spans="2:3" x14ac:dyDescent="0.3">
      <c r="B38" s="6"/>
      <c r="C38" s="6"/>
    </row>
    <row r="39" spans="2:3" x14ac:dyDescent="0.3">
      <c r="B39" s="6"/>
      <c r="C39" s="6"/>
    </row>
    <row r="40" spans="2:3" x14ac:dyDescent="0.3">
      <c r="B40" s="6"/>
      <c r="C40" s="6"/>
    </row>
    <row r="41" spans="2:3" x14ac:dyDescent="0.3">
      <c r="B41" s="6"/>
      <c r="C41" s="6"/>
    </row>
    <row r="42" spans="2:3" x14ac:dyDescent="0.3">
      <c r="B42" s="6"/>
      <c r="C42" s="6"/>
    </row>
    <row r="43" spans="2:3" x14ac:dyDescent="0.3">
      <c r="B43" s="12"/>
    </row>
    <row r="44" spans="2:3" x14ac:dyDescent="0.3">
      <c r="B44" s="12"/>
    </row>
    <row r="45" spans="2:3" x14ac:dyDescent="0.3">
      <c r="B45" s="12"/>
    </row>
    <row r="46" spans="2:3" x14ac:dyDescent="0.3">
      <c r="B46" s="13"/>
      <c r="C46" s="13"/>
    </row>
    <row r="47" spans="2:3" x14ac:dyDescent="0.3">
      <c r="B47" s="14"/>
      <c r="C47" s="14"/>
    </row>
    <row r="48" spans="2:3" x14ac:dyDescent="0.3">
      <c r="B48" s="14"/>
      <c r="C48" s="14"/>
    </row>
    <row r="49" spans="2:3" x14ac:dyDescent="0.3">
      <c r="B49" s="14"/>
      <c r="C49" s="14"/>
    </row>
    <row r="50" spans="2:3" x14ac:dyDescent="0.3">
      <c r="B50" s="14"/>
      <c r="C50" s="14"/>
    </row>
    <row r="51" spans="2:3" x14ac:dyDescent="0.3">
      <c r="B51" s="14"/>
      <c r="C51" s="14"/>
    </row>
    <row r="52" spans="2:3" x14ac:dyDescent="0.3">
      <c r="B52" s="14"/>
      <c r="C52" s="14"/>
    </row>
    <row r="53" spans="2:3" x14ac:dyDescent="0.3">
      <c r="B53" s="14"/>
      <c r="C53" s="14"/>
    </row>
    <row r="54" spans="2:3" x14ac:dyDescent="0.3">
      <c r="B54" s="12"/>
    </row>
  </sheetData>
  <mergeCells count="2">
    <mergeCell ref="C2:J2"/>
    <mergeCell ref="L2:R2"/>
  </mergeCells>
  <printOptions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4"/>
  <sheetViews>
    <sheetView tabSelected="1" zoomScale="70" zoomScaleNormal="70" workbookViewId="0">
      <selection activeCell="C11" sqref="C11"/>
    </sheetView>
  </sheetViews>
  <sheetFormatPr defaultRowHeight="13" x14ac:dyDescent="0.3"/>
  <cols>
    <col min="1" max="1" width="3.26953125" style="2" customWidth="1"/>
    <col min="2" max="2" width="22.26953125" style="1" customWidth="1"/>
    <col min="3" max="3" width="7.81640625" style="12" customWidth="1"/>
    <col min="4" max="5" width="8.81640625" style="24" customWidth="1"/>
    <col min="6" max="6" width="6.81640625" style="24" customWidth="1"/>
    <col min="7" max="9" width="7.81640625" style="24" customWidth="1"/>
    <col min="10" max="10" width="2.6328125" style="2" customWidth="1"/>
    <col min="11" max="16384" width="8.7265625" style="2"/>
  </cols>
  <sheetData>
    <row r="1" spans="2:23" ht="13.5" customHeight="1" thickBot="1" x14ac:dyDescent="0.35">
      <c r="B1" s="23" t="s">
        <v>61</v>
      </c>
    </row>
    <row r="2" spans="2:23" ht="13.5" customHeight="1" thickBot="1" x14ac:dyDescent="0.35">
      <c r="C2" s="208" t="s">
        <v>43</v>
      </c>
      <c r="D2" s="209"/>
      <c r="E2" s="209"/>
      <c r="F2" s="209"/>
      <c r="G2" s="209"/>
      <c r="H2" s="209"/>
      <c r="I2" s="210"/>
      <c r="J2" s="60"/>
      <c r="K2" s="211" t="s">
        <v>76</v>
      </c>
      <c r="L2" s="212"/>
      <c r="M2" s="212"/>
      <c r="N2" s="212"/>
      <c r="O2" s="212"/>
      <c r="P2" s="213"/>
    </row>
    <row r="3" spans="2:23" ht="39.5" customHeight="1" x14ac:dyDescent="0.3">
      <c r="B3" s="3" t="s">
        <v>0</v>
      </c>
      <c r="C3" s="25" t="s">
        <v>30</v>
      </c>
      <c r="D3" s="26" t="s">
        <v>23</v>
      </c>
      <c r="E3" s="26" t="s">
        <v>24</v>
      </c>
      <c r="F3" s="26" t="s">
        <v>25</v>
      </c>
      <c r="G3" s="26" t="s">
        <v>31</v>
      </c>
      <c r="H3" s="27" t="s">
        <v>33</v>
      </c>
      <c r="I3" s="28" t="s">
        <v>27</v>
      </c>
      <c r="K3" s="25" t="s">
        <v>41</v>
      </c>
      <c r="L3" s="26" t="s">
        <v>23</v>
      </c>
      <c r="M3" s="26" t="s">
        <v>24</v>
      </c>
      <c r="N3" s="28" t="s">
        <v>25</v>
      </c>
      <c r="O3" s="27" t="s">
        <v>33</v>
      </c>
      <c r="P3" s="28" t="s">
        <v>27</v>
      </c>
    </row>
    <row r="4" spans="2:23" ht="13.5" customHeight="1" thickBot="1" x14ac:dyDescent="0.35">
      <c r="B4" s="4">
        <v>2013</v>
      </c>
      <c r="C4" s="29" t="s">
        <v>29</v>
      </c>
      <c r="D4" s="30" t="s">
        <v>29</v>
      </c>
      <c r="E4" s="30" t="s">
        <v>29</v>
      </c>
      <c r="F4" s="30" t="s">
        <v>29</v>
      </c>
      <c r="G4" s="30" t="s">
        <v>29</v>
      </c>
      <c r="H4" s="31" t="s">
        <v>29</v>
      </c>
      <c r="I4" s="32" t="s">
        <v>28</v>
      </c>
      <c r="K4" s="29" t="s">
        <v>29</v>
      </c>
      <c r="L4" s="30" t="s">
        <v>29</v>
      </c>
      <c r="M4" s="30" t="s">
        <v>29</v>
      </c>
      <c r="N4" s="32" t="s">
        <v>29</v>
      </c>
      <c r="O4" s="72" t="s">
        <v>29</v>
      </c>
      <c r="P4" s="73" t="s">
        <v>28</v>
      </c>
      <c r="U4" s="2" t="s">
        <v>80</v>
      </c>
      <c r="V4" s="2" t="s">
        <v>81</v>
      </c>
      <c r="W4" s="2" t="s">
        <v>82</v>
      </c>
    </row>
    <row r="5" spans="2:23" ht="13.5" customHeight="1" x14ac:dyDescent="0.3">
      <c r="B5" s="5" t="s">
        <v>1</v>
      </c>
      <c r="C5" s="45">
        <f>SUM(D5:H5)</f>
        <v>89711.410212000003</v>
      </c>
      <c r="D5" s="35">
        <v>88966.503360000002</v>
      </c>
      <c r="E5" s="35">
        <v>739.238652</v>
      </c>
      <c r="F5" s="35"/>
      <c r="G5" s="35"/>
      <c r="H5" s="36">
        <v>5.6681999999999997</v>
      </c>
      <c r="I5" s="37">
        <v>401</v>
      </c>
      <c r="K5" s="49">
        <f>SUM(L5:O5)</f>
        <v>8186.7042000000001</v>
      </c>
      <c r="L5" s="36">
        <f>V7*L$27/1000000*0.75</f>
        <v>8142.12</v>
      </c>
      <c r="M5" s="74"/>
      <c r="N5" s="74"/>
      <c r="O5" s="36">
        <f>W7*O$27/1000000</f>
        <v>44.584200000000003</v>
      </c>
      <c r="P5" s="37">
        <f>U7</f>
        <v>2000</v>
      </c>
      <c r="T5" s="2" t="s">
        <v>79</v>
      </c>
      <c r="U5" s="24">
        <v>0</v>
      </c>
      <c r="V5" s="24">
        <v>11590</v>
      </c>
      <c r="W5" s="24">
        <v>2220</v>
      </c>
    </row>
    <row r="6" spans="2:23" ht="13.5" customHeight="1" x14ac:dyDescent="0.3">
      <c r="B6" s="7" t="s">
        <v>2</v>
      </c>
      <c r="C6" s="17">
        <f>SUM(D6:H6)</f>
        <v>22.638960000000001</v>
      </c>
      <c r="D6" s="41"/>
      <c r="E6" s="41"/>
      <c r="F6" s="41"/>
      <c r="G6" s="41"/>
      <c r="H6" s="33">
        <v>22.638960000000001</v>
      </c>
      <c r="I6" s="34">
        <v>310</v>
      </c>
      <c r="K6" s="49">
        <f>SUM(L6:O6)</f>
        <v>54.567</v>
      </c>
      <c r="L6" s="33">
        <f>V6*L$27/1000000*0.75</f>
        <v>0</v>
      </c>
      <c r="M6" s="41"/>
      <c r="N6" s="41"/>
      <c r="O6" s="33">
        <f>W6*O$27/1000000</f>
        <v>54.567</v>
      </c>
      <c r="P6" s="34">
        <f>U6</f>
        <v>530</v>
      </c>
      <c r="T6" s="2" t="s">
        <v>78</v>
      </c>
      <c r="U6" s="24">
        <v>530</v>
      </c>
      <c r="V6" s="24">
        <v>0</v>
      </c>
      <c r="W6" s="24">
        <v>3225</v>
      </c>
    </row>
    <row r="7" spans="2:23" ht="13.5" customHeight="1" x14ac:dyDescent="0.3">
      <c r="B7" s="7" t="s">
        <v>3</v>
      </c>
      <c r="C7" s="17">
        <f t="shared" ref="C7" si="0">SUM(D7:H7)</f>
        <v>285.44319239999999</v>
      </c>
      <c r="D7" s="41">
        <v>68.795470800000004</v>
      </c>
      <c r="E7" s="41">
        <v>213.11144160000003</v>
      </c>
      <c r="F7" s="41"/>
      <c r="G7" s="41"/>
      <c r="H7" s="33">
        <v>3.5362800000000001</v>
      </c>
      <c r="I7" s="34">
        <v>18</v>
      </c>
      <c r="K7" s="49">
        <f>SUM(L7:O7)</f>
        <v>168.99299999999999</v>
      </c>
      <c r="L7" s="33">
        <f>V5*L$27/1000000*0.75</f>
        <v>131.4306</v>
      </c>
      <c r="M7" s="41"/>
      <c r="N7" s="41"/>
      <c r="O7" s="33">
        <f>W5*O$27/1000000</f>
        <v>37.562399999999997</v>
      </c>
      <c r="P7" s="34">
        <f>U5</f>
        <v>0</v>
      </c>
      <c r="T7" s="2" t="s">
        <v>77</v>
      </c>
      <c r="U7" s="2">
        <v>2000</v>
      </c>
      <c r="V7" s="24">
        <v>718000</v>
      </c>
      <c r="W7" s="24">
        <v>2635</v>
      </c>
    </row>
    <row r="8" spans="2:23" ht="13.5" customHeight="1" x14ac:dyDescent="0.3">
      <c r="B8" s="7" t="s">
        <v>4</v>
      </c>
      <c r="C8" s="17"/>
      <c r="D8" s="41"/>
      <c r="E8" s="41"/>
      <c r="F8" s="41"/>
      <c r="G8" s="41"/>
      <c r="H8" s="33"/>
      <c r="I8" s="34"/>
      <c r="K8" s="49"/>
      <c r="L8" s="21"/>
      <c r="M8" s="21"/>
      <c r="N8" s="21"/>
      <c r="O8" s="15"/>
      <c r="P8" s="16"/>
    </row>
    <row r="9" spans="2:23" ht="13.5" customHeight="1" x14ac:dyDescent="0.3">
      <c r="B9" s="7" t="s">
        <v>5</v>
      </c>
      <c r="C9" s="17"/>
      <c r="D9" s="41"/>
      <c r="E9" s="41"/>
      <c r="F9" s="41"/>
      <c r="G9" s="41"/>
      <c r="H9" s="33"/>
      <c r="I9" s="34"/>
      <c r="K9" s="49"/>
      <c r="L9" s="21"/>
      <c r="M9" s="21"/>
      <c r="N9" s="21"/>
      <c r="O9" s="15"/>
      <c r="P9" s="16"/>
    </row>
    <row r="10" spans="2:23" ht="13.5" customHeight="1" thickBot="1" x14ac:dyDescent="0.35">
      <c r="B10" s="46" t="s">
        <v>6</v>
      </c>
      <c r="C10" s="47">
        <f>SUM(D10:H10)</f>
        <v>89429.503299599994</v>
      </c>
      <c r="D10" s="61">
        <f>D5+D6-D7+D8</f>
        <v>88897.707889199999</v>
      </c>
      <c r="E10" s="61">
        <f>E5+E6-E7</f>
        <v>526.12721039999997</v>
      </c>
      <c r="F10" s="61"/>
      <c r="G10" s="61"/>
      <c r="H10" s="66">
        <f>H5</f>
        <v>5.6681999999999997</v>
      </c>
      <c r="I10" s="62">
        <v>693</v>
      </c>
      <c r="K10" s="51">
        <f>SUM(L10:O10)</f>
        <v>8072.2782000000007</v>
      </c>
      <c r="L10" s="66">
        <f>L5+L6-L7</f>
        <v>8010.6894000000002</v>
      </c>
      <c r="M10" s="53"/>
      <c r="N10" s="53"/>
      <c r="O10" s="66">
        <f>O5+O6-O7</f>
        <v>61.588800000000006</v>
      </c>
      <c r="P10" s="62">
        <f>P5+P6-P7</f>
        <v>2530</v>
      </c>
    </row>
    <row r="11" spans="2:23" ht="13.5" customHeight="1" thickBot="1" x14ac:dyDescent="0.35">
      <c r="B11" s="8" t="s">
        <v>7</v>
      </c>
      <c r="C11" s="19"/>
      <c r="D11" s="38"/>
      <c r="E11" s="38">
        <v>1.4602428000000001</v>
      </c>
      <c r="F11" s="38"/>
      <c r="G11" s="38"/>
      <c r="H11" s="39"/>
      <c r="I11" s="40"/>
      <c r="K11" s="55">
        <f>SUM(L11:O11)</f>
        <v>0</v>
      </c>
      <c r="L11" s="67"/>
      <c r="M11" s="67"/>
      <c r="N11" s="68"/>
      <c r="O11" s="39"/>
      <c r="P11" s="40"/>
    </row>
    <row r="12" spans="2:23" ht="13.5" customHeight="1" x14ac:dyDescent="0.3">
      <c r="B12" s="7" t="s">
        <v>8</v>
      </c>
      <c r="C12" s="45"/>
      <c r="H12" s="33" t="s">
        <v>35</v>
      </c>
      <c r="I12" s="34" t="s">
        <v>35</v>
      </c>
      <c r="K12" s="49"/>
      <c r="L12" s="41"/>
      <c r="M12" s="41"/>
      <c r="N12" s="34"/>
      <c r="O12" s="33"/>
      <c r="P12" s="34"/>
    </row>
    <row r="13" spans="2:23" ht="13.5" customHeight="1" x14ac:dyDescent="0.3">
      <c r="B13" s="7" t="s">
        <v>9</v>
      </c>
      <c r="C13" s="17">
        <f>SUM(D13:H13)</f>
        <v>0</v>
      </c>
      <c r="H13" s="33"/>
      <c r="I13" s="34"/>
      <c r="K13" s="18"/>
      <c r="L13" s="21"/>
      <c r="M13" s="21"/>
      <c r="N13" s="16"/>
      <c r="O13" s="15"/>
      <c r="P13" s="16"/>
      <c r="U13" s="24"/>
      <c r="V13" s="24"/>
      <c r="W13" s="24"/>
    </row>
    <row r="14" spans="2:23" ht="13.5" customHeight="1" x14ac:dyDescent="0.3">
      <c r="B14" s="7" t="s">
        <v>10</v>
      </c>
      <c r="C14" s="17"/>
      <c r="H14" s="33"/>
      <c r="I14" s="34"/>
      <c r="K14" s="18"/>
      <c r="L14" s="21"/>
      <c r="M14" s="21"/>
      <c r="N14" s="16"/>
      <c r="O14" s="15"/>
      <c r="P14" s="16"/>
      <c r="U14" s="24"/>
      <c r="V14" s="24"/>
      <c r="W14" s="24"/>
    </row>
    <row r="15" spans="2:23" ht="13.5" customHeight="1" x14ac:dyDescent="0.3">
      <c r="B15" s="7" t="s">
        <v>11</v>
      </c>
      <c r="C15" s="17">
        <f t="shared" ref="C15" si="1">SUM(D15:H15)</f>
        <v>22.078418400000004</v>
      </c>
      <c r="D15" s="24">
        <v>22.078418400000004</v>
      </c>
      <c r="H15" s="33"/>
      <c r="I15" s="34"/>
      <c r="K15" s="18"/>
      <c r="L15" s="21"/>
      <c r="M15" s="21"/>
      <c r="N15" s="16"/>
      <c r="O15" s="15"/>
      <c r="P15" s="16"/>
      <c r="U15" s="24"/>
      <c r="V15" s="24"/>
      <c r="W15" s="24"/>
    </row>
    <row r="16" spans="2:23" ht="13.5" customHeight="1" x14ac:dyDescent="0.3">
      <c r="B16" s="7" t="s">
        <v>34</v>
      </c>
      <c r="C16" s="17"/>
      <c r="H16" s="33"/>
      <c r="I16" s="34"/>
      <c r="K16" s="18"/>
      <c r="L16" s="21"/>
      <c r="M16" s="21"/>
      <c r="N16" s="16"/>
      <c r="O16" s="15"/>
      <c r="P16" s="16"/>
      <c r="V16" s="24"/>
      <c r="W16" s="24"/>
    </row>
    <row r="17" spans="2:23" ht="13.5" customHeight="1" x14ac:dyDescent="0.3">
      <c r="B17" s="7" t="s">
        <v>12</v>
      </c>
      <c r="C17" s="17"/>
      <c r="H17" s="33"/>
      <c r="I17" s="34"/>
      <c r="K17" s="18"/>
      <c r="L17" s="21"/>
      <c r="M17" s="21"/>
      <c r="N17" s="16"/>
      <c r="O17" s="15"/>
      <c r="P17" s="16"/>
      <c r="V17" s="24"/>
      <c r="W17" s="24"/>
    </row>
    <row r="18" spans="2:23" ht="13.5" customHeight="1" x14ac:dyDescent="0.3">
      <c r="B18" s="7" t="s">
        <v>13</v>
      </c>
      <c r="C18" s="17"/>
      <c r="H18" s="33"/>
      <c r="I18" s="34"/>
      <c r="K18" s="18"/>
      <c r="L18" s="21"/>
      <c r="M18" s="21"/>
      <c r="N18" s="16"/>
      <c r="O18" s="15"/>
      <c r="P18" s="16"/>
      <c r="U18" s="24"/>
      <c r="V18" s="24"/>
      <c r="W18" s="24"/>
    </row>
    <row r="19" spans="2:23" ht="13.5" customHeight="1" thickBot="1" x14ac:dyDescent="0.35">
      <c r="B19" s="7" t="s">
        <v>14</v>
      </c>
      <c r="C19" s="17"/>
      <c r="H19" s="33"/>
      <c r="I19" s="34"/>
      <c r="K19" s="18"/>
      <c r="L19" s="21"/>
      <c r="M19" s="21"/>
      <c r="N19" s="16"/>
      <c r="O19" s="15"/>
      <c r="P19" s="16"/>
      <c r="V19" s="24"/>
    </row>
    <row r="20" spans="2:23" ht="13.5" customHeight="1" x14ac:dyDescent="0.3">
      <c r="B20" s="9" t="s">
        <v>15</v>
      </c>
      <c r="C20" s="20">
        <f>SUM(D20:H20)</f>
        <v>6976.6315643999997</v>
      </c>
      <c r="D20" s="58">
        <f>SUM(D21:D26)</f>
        <v>6437.8318896000001</v>
      </c>
      <c r="E20" s="58">
        <v>524.87451480000004</v>
      </c>
      <c r="F20" s="58"/>
      <c r="G20" s="58"/>
      <c r="H20" s="57">
        <f>H25</f>
        <v>13.92516</v>
      </c>
      <c r="I20" s="59">
        <v>693</v>
      </c>
      <c r="K20" s="56"/>
      <c r="L20" s="58"/>
      <c r="M20" s="58"/>
      <c r="N20" s="58"/>
      <c r="O20" s="57"/>
      <c r="P20" s="59"/>
    </row>
    <row r="21" spans="2:23" ht="13.5" customHeight="1" x14ac:dyDescent="0.3">
      <c r="B21" s="7" t="s">
        <v>16</v>
      </c>
      <c r="C21" s="17">
        <f t="shared" ref="C21:C25" si="2">SUM(D21:H21)</f>
        <v>209.36076720000003</v>
      </c>
      <c r="D21" s="41"/>
      <c r="E21" s="41">
        <v>209.36076720000003</v>
      </c>
      <c r="F21" s="41"/>
      <c r="G21" s="41"/>
      <c r="H21" s="33"/>
      <c r="I21" s="34"/>
      <c r="K21" s="49"/>
      <c r="L21" s="41"/>
      <c r="M21" s="41"/>
      <c r="N21" s="41"/>
      <c r="O21" s="33"/>
      <c r="P21" s="34"/>
    </row>
    <row r="22" spans="2:23" ht="13.5" customHeight="1" x14ac:dyDescent="0.3">
      <c r="B22" s="7" t="s">
        <v>17</v>
      </c>
      <c r="C22" s="17"/>
      <c r="D22" s="41"/>
      <c r="E22" s="41"/>
      <c r="F22" s="41"/>
      <c r="G22" s="41"/>
      <c r="H22" s="33"/>
      <c r="I22" s="34"/>
      <c r="K22" s="18"/>
      <c r="L22" s="21"/>
      <c r="M22" s="21"/>
      <c r="N22" s="21"/>
      <c r="O22" s="15"/>
      <c r="P22" s="16"/>
    </row>
    <row r="23" spans="2:23" ht="13.5" customHeight="1" x14ac:dyDescent="0.3">
      <c r="B23" s="7" t="s">
        <v>18</v>
      </c>
      <c r="C23" s="17"/>
      <c r="D23" s="41"/>
      <c r="E23" s="41"/>
      <c r="F23" s="41"/>
      <c r="G23" s="41"/>
      <c r="H23" s="33"/>
      <c r="I23" s="34"/>
      <c r="K23" s="18"/>
      <c r="L23" s="21"/>
      <c r="M23" s="21"/>
      <c r="N23" s="21"/>
      <c r="O23" s="15"/>
      <c r="P23" s="16"/>
    </row>
    <row r="24" spans="2:23" ht="13.5" customHeight="1" x14ac:dyDescent="0.3">
      <c r="B24" s="7" t="s">
        <v>19</v>
      </c>
      <c r="C24" s="17">
        <f t="shared" si="2"/>
        <v>276.78944880000006</v>
      </c>
      <c r="D24" s="41">
        <v>262.05963120000001</v>
      </c>
      <c r="E24" s="41">
        <v>3.8840976</v>
      </c>
      <c r="F24" s="41"/>
      <c r="G24" s="41"/>
      <c r="H24" s="33">
        <v>10.84572</v>
      </c>
      <c r="I24" s="34">
        <v>60</v>
      </c>
      <c r="K24" s="49"/>
      <c r="L24" s="41"/>
      <c r="M24" s="41"/>
      <c r="N24" s="41"/>
      <c r="O24" s="33"/>
      <c r="P24" s="34"/>
    </row>
    <row r="25" spans="2:23" ht="13.5" customHeight="1" x14ac:dyDescent="0.3">
      <c r="B25" s="7" t="s">
        <v>20</v>
      </c>
      <c r="C25" s="17">
        <f t="shared" si="2"/>
        <v>6501.3270683999999</v>
      </c>
      <c r="D25" s="41">
        <v>6175.7722584000003</v>
      </c>
      <c r="E25" s="41">
        <v>311.62965000000003</v>
      </c>
      <c r="F25" s="41"/>
      <c r="G25" s="41"/>
      <c r="H25" s="33">
        <v>13.92516</v>
      </c>
      <c r="I25" s="34">
        <v>633</v>
      </c>
      <c r="K25" s="49"/>
      <c r="L25" s="41"/>
      <c r="M25" s="41"/>
      <c r="N25" s="41"/>
      <c r="O25" s="33"/>
      <c r="P25" s="34"/>
    </row>
    <row r="26" spans="2:23" ht="13.5" customHeight="1" thickBot="1" x14ac:dyDescent="0.35">
      <c r="B26" s="8" t="s">
        <v>21</v>
      </c>
      <c r="C26" s="17"/>
      <c r="D26" s="38"/>
      <c r="E26" s="38"/>
      <c r="F26" s="38"/>
      <c r="G26" s="38"/>
      <c r="H26" s="39"/>
      <c r="I26" s="40"/>
      <c r="K26" s="50"/>
      <c r="L26" s="38"/>
      <c r="M26" s="38"/>
      <c r="N26" s="38"/>
      <c r="O26" s="39"/>
      <c r="P26" s="40"/>
    </row>
    <row r="27" spans="2:23" ht="13.5" customHeight="1" thickBot="1" x14ac:dyDescent="0.35">
      <c r="B27" s="10" t="s">
        <v>22</v>
      </c>
      <c r="C27" s="22"/>
      <c r="D27" s="42">
        <v>12235.2</v>
      </c>
      <c r="E27" s="42">
        <v>9883.2000000000007</v>
      </c>
      <c r="F27" s="42"/>
      <c r="G27" s="42"/>
      <c r="H27" s="43">
        <v>16920</v>
      </c>
      <c r="I27" s="44">
        <v>29302</v>
      </c>
      <c r="L27" s="43">
        <v>15120</v>
      </c>
      <c r="M27" s="42"/>
      <c r="N27" s="42"/>
      <c r="O27" s="43">
        <v>16920</v>
      </c>
      <c r="P27" s="44"/>
    </row>
    <row r="28" spans="2:23" ht="15" customHeight="1" x14ac:dyDescent="0.3">
      <c r="D28" s="24" t="s">
        <v>62</v>
      </c>
      <c r="E28" s="24" t="s">
        <v>63</v>
      </c>
    </row>
    <row r="29" spans="2:23" x14ac:dyDescent="0.3">
      <c r="G29" s="2"/>
      <c r="H29" s="2"/>
    </row>
    <row r="30" spans="2:23" x14ac:dyDescent="0.3">
      <c r="B30" s="11"/>
      <c r="C30" s="13"/>
      <c r="G30" s="2"/>
      <c r="H30" s="2"/>
    </row>
    <row r="31" spans="2:23" x14ac:dyDescent="0.3">
      <c r="G31" s="2"/>
      <c r="H31" s="2"/>
    </row>
    <row r="32" spans="2:23" x14ac:dyDescent="0.3">
      <c r="G32" s="2"/>
      <c r="H32" s="2"/>
    </row>
    <row r="33" spans="2:8" x14ac:dyDescent="0.3">
      <c r="B33" s="12"/>
      <c r="G33" s="2"/>
      <c r="H33" s="2"/>
    </row>
    <row r="34" spans="2:8" x14ac:dyDescent="0.3">
      <c r="B34" s="12"/>
      <c r="G34" s="2"/>
      <c r="H34" s="2"/>
    </row>
    <row r="35" spans="2:8" x14ac:dyDescent="0.3">
      <c r="B35" s="12"/>
      <c r="G35" s="2"/>
      <c r="H35" s="2"/>
    </row>
    <row r="36" spans="2:8" x14ac:dyDescent="0.3">
      <c r="B36" s="13"/>
      <c r="C36" s="13"/>
      <c r="G36" s="2"/>
      <c r="H36" s="2"/>
    </row>
    <row r="37" spans="2:8" x14ac:dyDescent="0.3">
      <c r="B37" s="12"/>
      <c r="G37" s="2"/>
      <c r="H37" s="2"/>
    </row>
    <row r="38" spans="2:8" x14ac:dyDescent="0.3">
      <c r="B38" s="6"/>
      <c r="C38" s="6"/>
      <c r="G38" s="2"/>
      <c r="H38" s="2"/>
    </row>
    <row r="39" spans="2:8" x14ac:dyDescent="0.3">
      <c r="B39" s="6"/>
      <c r="C39" s="6"/>
      <c r="G39" s="2"/>
      <c r="H39" s="2"/>
    </row>
    <row r="40" spans="2:8" x14ac:dyDescent="0.3">
      <c r="B40" s="6"/>
      <c r="C40" s="6"/>
      <c r="G40" s="2"/>
      <c r="H40" s="2"/>
    </row>
    <row r="41" spans="2:8" x14ac:dyDescent="0.3">
      <c r="B41" s="6"/>
      <c r="C41" s="6"/>
      <c r="G41" s="2"/>
      <c r="H41" s="2"/>
    </row>
    <row r="42" spans="2:8" x14ac:dyDescent="0.3">
      <c r="B42" s="6"/>
      <c r="C42" s="6"/>
      <c r="G42" s="2"/>
      <c r="H42" s="2"/>
    </row>
    <row r="43" spans="2:8" x14ac:dyDescent="0.3">
      <c r="B43" s="12"/>
      <c r="G43" s="2"/>
      <c r="H43" s="2"/>
    </row>
    <row r="44" spans="2:8" x14ac:dyDescent="0.3">
      <c r="B44" s="12"/>
      <c r="G44" s="2"/>
      <c r="H44" s="2"/>
    </row>
    <row r="45" spans="2:8" x14ac:dyDescent="0.3">
      <c r="B45" s="12"/>
      <c r="G45" s="2"/>
      <c r="H45" s="2"/>
    </row>
    <row r="46" spans="2:8" x14ac:dyDescent="0.3">
      <c r="B46" s="13"/>
      <c r="C46" s="13"/>
      <c r="G46" s="2"/>
      <c r="H46" s="2"/>
    </row>
    <row r="47" spans="2:8" x14ac:dyDescent="0.3">
      <c r="B47" s="14"/>
      <c r="C47" s="14"/>
      <c r="G47" s="2"/>
      <c r="H47" s="2"/>
    </row>
    <row r="48" spans="2:8" x14ac:dyDescent="0.3">
      <c r="B48" s="14"/>
      <c r="C48" s="14"/>
      <c r="G48" s="2"/>
      <c r="H48" s="2"/>
    </row>
    <row r="49" spans="2:8" x14ac:dyDescent="0.3">
      <c r="B49" s="14"/>
      <c r="C49" s="14"/>
      <c r="G49" s="2"/>
      <c r="H49" s="2"/>
    </row>
    <row r="50" spans="2:8" x14ac:dyDescent="0.3">
      <c r="B50" s="14"/>
      <c r="C50" s="14"/>
      <c r="G50" s="2"/>
      <c r="H50" s="2"/>
    </row>
    <row r="51" spans="2:8" x14ac:dyDescent="0.3">
      <c r="B51" s="14"/>
      <c r="C51" s="14"/>
      <c r="G51" s="2"/>
      <c r="H51" s="2"/>
    </row>
    <row r="52" spans="2:8" x14ac:dyDescent="0.3">
      <c r="B52" s="14"/>
      <c r="C52" s="14"/>
      <c r="G52" s="2"/>
      <c r="H52" s="2"/>
    </row>
    <row r="53" spans="2:8" x14ac:dyDescent="0.3">
      <c r="B53" s="14"/>
      <c r="C53" s="14"/>
      <c r="G53" s="2"/>
      <c r="H53" s="2"/>
    </row>
    <row r="54" spans="2:8" x14ac:dyDescent="0.3">
      <c r="B54" s="12"/>
    </row>
  </sheetData>
  <mergeCells count="2">
    <mergeCell ref="C2:I2"/>
    <mergeCell ref="K2:P2"/>
  </mergeCells>
  <printOptions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4"/>
  <sheetViews>
    <sheetView tabSelected="1" zoomScale="70" zoomScaleNormal="70" workbookViewId="0">
      <selection activeCell="C11" sqref="C11"/>
    </sheetView>
  </sheetViews>
  <sheetFormatPr defaultRowHeight="13" x14ac:dyDescent="0.3"/>
  <cols>
    <col min="1" max="1" width="3.26953125" style="2" customWidth="1"/>
    <col min="2" max="2" width="22.26953125" style="1" customWidth="1"/>
    <col min="3" max="3" width="7.81640625" style="12" customWidth="1"/>
    <col min="4" max="5" width="8.81640625" style="24" customWidth="1"/>
    <col min="6" max="6" width="6.81640625" style="24" customWidth="1"/>
    <col min="7" max="9" width="7.81640625" style="24" customWidth="1"/>
    <col min="10" max="10" width="2.6328125" style="2" customWidth="1"/>
    <col min="11" max="16384" width="8.7265625" style="2"/>
  </cols>
  <sheetData>
    <row r="1" spans="2:23" ht="13.5" customHeight="1" thickBot="1" x14ac:dyDescent="0.35">
      <c r="B1" s="23" t="s">
        <v>54</v>
      </c>
    </row>
    <row r="2" spans="2:23" ht="13.5" customHeight="1" thickBot="1" x14ac:dyDescent="0.35">
      <c r="C2" s="208" t="s">
        <v>43</v>
      </c>
      <c r="D2" s="209"/>
      <c r="E2" s="209"/>
      <c r="F2" s="209"/>
      <c r="G2" s="209"/>
      <c r="H2" s="209"/>
      <c r="I2" s="210"/>
      <c r="J2" s="60"/>
      <c r="K2" s="211" t="s">
        <v>76</v>
      </c>
      <c r="L2" s="212"/>
      <c r="M2" s="212"/>
      <c r="N2" s="212"/>
      <c r="O2" s="212"/>
      <c r="P2" s="213"/>
    </row>
    <row r="3" spans="2:23" ht="39.5" customHeight="1" x14ac:dyDescent="0.3">
      <c r="B3" s="3" t="s">
        <v>0</v>
      </c>
      <c r="C3" s="25" t="s">
        <v>30</v>
      </c>
      <c r="D3" s="26" t="s">
        <v>23</v>
      </c>
      <c r="E3" s="26" t="s">
        <v>24</v>
      </c>
      <c r="F3" s="26" t="s">
        <v>25</v>
      </c>
      <c r="G3" s="26" t="s">
        <v>31</v>
      </c>
      <c r="H3" s="27" t="s">
        <v>33</v>
      </c>
      <c r="I3" s="28" t="s">
        <v>27</v>
      </c>
      <c r="K3" s="25" t="s">
        <v>41</v>
      </c>
      <c r="L3" s="26" t="s">
        <v>23</v>
      </c>
      <c r="M3" s="26" t="s">
        <v>24</v>
      </c>
      <c r="N3" s="28" t="s">
        <v>25</v>
      </c>
      <c r="O3" s="27" t="s">
        <v>33</v>
      </c>
      <c r="P3" s="28" t="s">
        <v>27</v>
      </c>
    </row>
    <row r="4" spans="2:23" ht="13.5" customHeight="1" thickBot="1" x14ac:dyDescent="0.35">
      <c r="B4" s="4">
        <v>2013</v>
      </c>
      <c r="C4" s="29" t="s">
        <v>29</v>
      </c>
      <c r="D4" s="30" t="s">
        <v>29</v>
      </c>
      <c r="E4" s="30" t="s">
        <v>29</v>
      </c>
      <c r="F4" s="30" t="s">
        <v>29</v>
      </c>
      <c r="G4" s="30" t="s">
        <v>29</v>
      </c>
      <c r="H4" s="31" t="s">
        <v>29</v>
      </c>
      <c r="I4" s="32" t="s">
        <v>28</v>
      </c>
      <c r="K4" s="29" t="s">
        <v>29</v>
      </c>
      <c r="L4" s="30" t="s">
        <v>29</v>
      </c>
      <c r="M4" s="30" t="s">
        <v>29</v>
      </c>
      <c r="N4" s="32" t="s">
        <v>29</v>
      </c>
      <c r="O4" s="72" t="s">
        <v>29</v>
      </c>
      <c r="P4" s="73" t="s">
        <v>28</v>
      </c>
      <c r="U4" s="2" t="s">
        <v>80</v>
      </c>
      <c r="V4" s="2" t="s">
        <v>81</v>
      </c>
      <c r="W4" s="2" t="s">
        <v>82</v>
      </c>
    </row>
    <row r="5" spans="2:23" ht="13.5" customHeight="1" x14ac:dyDescent="0.3">
      <c r="B5" s="5" t="s">
        <v>1</v>
      </c>
      <c r="C5" s="45">
        <f>SUM(D5:H5)</f>
        <v>169913.45093736</v>
      </c>
      <c r="D5" s="35">
        <v>88966.503360000002</v>
      </c>
      <c r="E5" s="35">
        <f>23630.418831-H5</f>
        <v>4658.0028559999992</v>
      </c>
      <c r="F5" s="35">
        <v>41266.532476259992</v>
      </c>
      <c r="G5" s="35">
        <v>16049.9962701</v>
      </c>
      <c r="H5" s="36">
        <v>18972.415975</v>
      </c>
      <c r="I5" s="37">
        <v>19575</v>
      </c>
      <c r="K5" s="49">
        <f>SUM(L5:O5)</f>
        <v>20543.04</v>
      </c>
      <c r="L5" s="36">
        <f>V7*L$27/1000000*0.75</f>
        <v>6804</v>
      </c>
      <c r="M5" s="74"/>
      <c r="N5" s="74"/>
      <c r="O5" s="36">
        <f>W7*O$27/1000000</f>
        <v>13739.04</v>
      </c>
      <c r="P5" s="37">
        <f>U7</f>
        <v>12478</v>
      </c>
      <c r="T5" s="2" t="s">
        <v>79</v>
      </c>
      <c r="U5" s="24">
        <v>5331</v>
      </c>
      <c r="V5" s="24">
        <v>8292</v>
      </c>
      <c r="W5" s="24">
        <v>776743</v>
      </c>
    </row>
    <row r="6" spans="2:23" ht="13.5" customHeight="1" x14ac:dyDescent="0.3">
      <c r="B6" s="7" t="s">
        <v>2</v>
      </c>
      <c r="C6" s="17">
        <f>SUM(D6:H6)</f>
        <v>1618</v>
      </c>
      <c r="D6" s="41"/>
      <c r="E6" s="41"/>
      <c r="F6" s="41"/>
      <c r="G6" s="41">
        <v>1618</v>
      </c>
      <c r="H6" s="33">
        <v>0</v>
      </c>
      <c r="I6" s="34">
        <v>32312</v>
      </c>
      <c r="K6" s="49">
        <f>SUM(L6:O6)</f>
        <v>556.43255999999997</v>
      </c>
      <c r="L6" s="33">
        <f>V6*L$27/1000000*0.75</f>
        <v>29.053080000000001</v>
      </c>
      <c r="M6" s="41"/>
      <c r="N6" s="41"/>
      <c r="O6" s="33">
        <f>W6*O$27/1000000</f>
        <v>527.37947999999994</v>
      </c>
      <c r="P6" s="34">
        <f>U6</f>
        <v>35749</v>
      </c>
      <c r="T6" s="2" t="s">
        <v>78</v>
      </c>
      <c r="U6" s="24">
        <v>35749</v>
      </c>
      <c r="V6" s="24">
        <v>2562</v>
      </c>
      <c r="W6" s="24">
        <v>31169</v>
      </c>
    </row>
    <row r="7" spans="2:23" ht="13.5" customHeight="1" x14ac:dyDescent="0.3">
      <c r="B7" s="7" t="s">
        <v>3</v>
      </c>
      <c r="C7" s="17">
        <f t="shared" ref="C7:C8" si="0">SUM(D7:H7)</f>
        <v>15430.421021</v>
      </c>
      <c r="D7" s="41"/>
      <c r="E7" s="41"/>
      <c r="F7" s="41"/>
      <c r="G7" s="41"/>
      <c r="H7" s="33">
        <v>15430.421021</v>
      </c>
      <c r="I7" s="34">
        <v>4667</v>
      </c>
      <c r="K7" s="49">
        <f>SUM(L7:O7)</f>
        <v>13236.52284</v>
      </c>
      <c r="L7" s="33">
        <f>V5*L$27/1000000*0.75</f>
        <v>94.031279999999995</v>
      </c>
      <c r="M7" s="41"/>
      <c r="N7" s="41"/>
      <c r="O7" s="33">
        <f>W5*O$27/1000000</f>
        <v>13142.49156</v>
      </c>
      <c r="P7" s="34">
        <f>U5</f>
        <v>5331</v>
      </c>
      <c r="T7" s="2" t="s">
        <v>77</v>
      </c>
      <c r="U7" s="2">
        <v>12478</v>
      </c>
      <c r="V7" s="24">
        <v>600000</v>
      </c>
      <c r="W7" s="24">
        <v>812000</v>
      </c>
    </row>
    <row r="8" spans="2:23" ht="13.5" customHeight="1" x14ac:dyDescent="0.3">
      <c r="B8" s="7" t="s">
        <v>4</v>
      </c>
      <c r="C8" s="17">
        <f t="shared" si="0"/>
        <v>0</v>
      </c>
      <c r="D8" s="41"/>
      <c r="E8" s="41"/>
      <c r="F8" s="41"/>
      <c r="G8" s="41"/>
      <c r="H8" s="33">
        <v>0</v>
      </c>
      <c r="I8" s="34"/>
      <c r="K8" s="49"/>
      <c r="L8" s="21"/>
      <c r="M8" s="21"/>
      <c r="N8" s="21"/>
      <c r="O8" s="15"/>
      <c r="P8" s="16"/>
    </row>
    <row r="9" spans="2:23" ht="13.5" customHeight="1" x14ac:dyDescent="0.3">
      <c r="B9" s="7" t="s">
        <v>5</v>
      </c>
      <c r="C9" s="17"/>
      <c r="D9" s="41"/>
      <c r="E9" s="41"/>
      <c r="F9" s="41"/>
      <c r="G9" s="41"/>
      <c r="H9" s="33"/>
      <c r="I9" s="34"/>
      <c r="K9" s="49"/>
      <c r="L9" s="21"/>
      <c r="M9" s="21"/>
      <c r="N9" s="21"/>
      <c r="O9" s="15"/>
      <c r="P9" s="16"/>
    </row>
    <row r="10" spans="2:23" ht="13.5" customHeight="1" thickBot="1" x14ac:dyDescent="0.35">
      <c r="B10" s="46" t="s">
        <v>6</v>
      </c>
      <c r="C10" s="47">
        <f>SUM(D10:H10)</f>
        <v>171531.45093736</v>
      </c>
      <c r="D10" s="61">
        <f>D5+D6-D7+D8</f>
        <v>88966.503360000002</v>
      </c>
      <c r="E10" s="61">
        <f t="shared" ref="E10:G10" si="1">E5+E6-E7</f>
        <v>4658.0028559999992</v>
      </c>
      <c r="F10" s="61">
        <f t="shared" si="1"/>
        <v>41266.532476259992</v>
      </c>
      <c r="G10" s="61">
        <f t="shared" si="1"/>
        <v>17667.9962701</v>
      </c>
      <c r="H10" s="66">
        <f>H5</f>
        <v>18972.415975</v>
      </c>
      <c r="I10" s="62">
        <v>47220</v>
      </c>
      <c r="K10" s="51">
        <f>SUM(L10:O10)</f>
        <v>7862.9497199999996</v>
      </c>
      <c r="L10" s="66">
        <f>L5+L6-L7</f>
        <v>6739.0217999999995</v>
      </c>
      <c r="M10" s="53"/>
      <c r="N10" s="53"/>
      <c r="O10" s="66">
        <f>O5+O6-O7</f>
        <v>1123.9279200000001</v>
      </c>
      <c r="P10" s="62">
        <f>P5+P6-P7</f>
        <v>42896</v>
      </c>
    </row>
    <row r="11" spans="2:23" ht="13.5" customHeight="1" thickBot="1" x14ac:dyDescent="0.35">
      <c r="B11" s="8" t="s">
        <v>7</v>
      </c>
      <c r="C11" s="19"/>
      <c r="D11" s="38"/>
      <c r="E11" s="38"/>
      <c r="F11" s="38"/>
      <c r="G11" s="38"/>
      <c r="H11" s="39"/>
      <c r="I11" s="40"/>
      <c r="K11" s="55">
        <f>SUM(L11:O11)</f>
        <v>0</v>
      </c>
      <c r="L11" s="67"/>
      <c r="M11" s="67"/>
      <c r="N11" s="68"/>
      <c r="O11" s="39"/>
      <c r="P11" s="40"/>
    </row>
    <row r="12" spans="2:23" ht="13.5" customHeight="1" x14ac:dyDescent="0.3">
      <c r="B12" s="7" t="s">
        <v>8</v>
      </c>
      <c r="C12" s="45">
        <f>SUM(D12:H12)</f>
        <v>11172</v>
      </c>
      <c r="E12" s="24">
        <v>4268</v>
      </c>
      <c r="G12" s="24">
        <v>6904</v>
      </c>
      <c r="H12" s="33"/>
      <c r="I12" s="34"/>
      <c r="K12" s="49"/>
      <c r="L12" s="41"/>
      <c r="M12" s="41"/>
      <c r="N12" s="34"/>
      <c r="O12" s="33"/>
      <c r="P12" s="34"/>
    </row>
    <row r="13" spans="2:23" ht="13.5" customHeight="1" x14ac:dyDescent="0.3">
      <c r="B13" s="7" t="s">
        <v>9</v>
      </c>
      <c r="C13" s="17">
        <f>SUM(D13:H13)</f>
        <v>8996</v>
      </c>
      <c r="E13" s="24">
        <v>390</v>
      </c>
      <c r="F13" s="24">
        <v>7625</v>
      </c>
      <c r="G13" s="24">
        <v>981</v>
      </c>
      <c r="H13" s="33"/>
      <c r="I13" s="34"/>
      <c r="K13" s="18"/>
      <c r="L13" s="21"/>
      <c r="M13" s="21"/>
      <c r="N13" s="16"/>
      <c r="O13" s="15"/>
      <c r="P13" s="16"/>
      <c r="U13" s="24"/>
      <c r="V13" s="24"/>
      <c r="W13" s="24"/>
    </row>
    <row r="14" spans="2:23" ht="13.5" customHeight="1" x14ac:dyDescent="0.3">
      <c r="B14" s="7" t="s">
        <v>10</v>
      </c>
      <c r="C14" s="17">
        <f t="shared" ref="C14:C15" si="2">SUM(D14:H14)</f>
        <v>0</v>
      </c>
      <c r="H14" s="33"/>
      <c r="I14" s="34"/>
      <c r="K14" s="18"/>
      <c r="L14" s="21"/>
      <c r="M14" s="21"/>
      <c r="N14" s="16"/>
      <c r="O14" s="15"/>
      <c r="P14" s="16"/>
      <c r="U14" s="24"/>
      <c r="V14" s="24"/>
      <c r="W14" s="24"/>
    </row>
    <row r="15" spans="2:23" ht="13.5" customHeight="1" x14ac:dyDescent="0.3">
      <c r="B15" s="7" t="s">
        <v>11</v>
      </c>
      <c r="C15" s="17">
        <f t="shared" si="2"/>
        <v>1474.9999999999998</v>
      </c>
      <c r="D15" s="24">
        <v>1474.9999999999998</v>
      </c>
      <c r="H15" s="33"/>
      <c r="I15" s="34"/>
      <c r="K15" s="18"/>
      <c r="L15" s="21"/>
      <c r="M15" s="21"/>
      <c r="N15" s="16"/>
      <c r="O15" s="15"/>
      <c r="P15" s="16"/>
      <c r="U15" s="24"/>
      <c r="V15" s="24"/>
      <c r="W15" s="24"/>
    </row>
    <row r="16" spans="2:23" ht="13.5" customHeight="1" x14ac:dyDescent="0.3">
      <c r="B16" s="7" t="s">
        <v>34</v>
      </c>
      <c r="C16" s="17"/>
      <c r="H16" s="33"/>
      <c r="I16" s="34"/>
      <c r="K16" s="18"/>
      <c r="L16" s="21"/>
      <c r="M16" s="21"/>
      <c r="N16" s="16"/>
      <c r="O16" s="15"/>
      <c r="P16" s="16"/>
      <c r="U16" s="24"/>
      <c r="V16" s="24"/>
      <c r="W16" s="24"/>
    </row>
    <row r="17" spans="2:16" ht="13.5" customHeight="1" x14ac:dyDescent="0.3">
      <c r="B17" s="7" t="s">
        <v>12</v>
      </c>
      <c r="C17" s="17"/>
      <c r="H17" s="33"/>
      <c r="I17" s="34"/>
      <c r="K17" s="18"/>
      <c r="L17" s="21"/>
      <c r="M17" s="21"/>
      <c r="N17" s="16"/>
      <c r="O17" s="15"/>
      <c r="P17" s="16"/>
    </row>
    <row r="18" spans="2:16" ht="13.5" customHeight="1" x14ac:dyDescent="0.3">
      <c r="B18" s="7" t="s">
        <v>13</v>
      </c>
      <c r="C18" s="17"/>
      <c r="H18" s="33"/>
      <c r="I18" s="34"/>
      <c r="K18" s="18"/>
      <c r="L18" s="21"/>
      <c r="M18" s="21"/>
      <c r="N18" s="16"/>
      <c r="O18" s="15"/>
      <c r="P18" s="16"/>
    </row>
    <row r="19" spans="2:16" ht="13.5" customHeight="1" thickBot="1" x14ac:dyDescent="0.35">
      <c r="B19" s="7" t="s">
        <v>14</v>
      </c>
      <c r="C19" s="17"/>
      <c r="H19" s="33"/>
      <c r="I19" s="34"/>
      <c r="K19" s="18"/>
      <c r="L19" s="21"/>
      <c r="M19" s="21"/>
      <c r="N19" s="16"/>
      <c r="O19" s="15"/>
      <c r="P19" s="16"/>
    </row>
    <row r="20" spans="2:16" ht="13.5" customHeight="1" x14ac:dyDescent="0.3">
      <c r="B20" s="9" t="s">
        <v>15</v>
      </c>
      <c r="C20" s="20">
        <f>SUM(D20:H20)</f>
        <v>75793.578895099999</v>
      </c>
      <c r="D20" s="58">
        <f>SUM(D21:D26)</f>
        <v>29954.854699</v>
      </c>
      <c r="E20" s="58">
        <f t="shared" ref="E20:G20" si="3">SUM(E21:E26)</f>
        <v>0</v>
      </c>
      <c r="F20" s="58">
        <f t="shared" si="3"/>
        <v>33641.532661099998</v>
      </c>
      <c r="G20" s="58">
        <f t="shared" si="3"/>
        <v>9783</v>
      </c>
      <c r="H20" s="57">
        <f>H25</f>
        <v>2414.1915349999999</v>
      </c>
      <c r="I20" s="59">
        <v>47220</v>
      </c>
      <c r="K20" s="56"/>
      <c r="L20" s="58"/>
      <c r="M20" s="58"/>
      <c r="N20" s="58"/>
      <c r="O20" s="57"/>
      <c r="P20" s="59"/>
    </row>
    <row r="21" spans="2:16" ht="13.5" customHeight="1" x14ac:dyDescent="0.3">
      <c r="B21" s="7" t="s">
        <v>16</v>
      </c>
      <c r="C21" s="17">
        <f t="shared" ref="C21:C26" si="4">SUM(D21:H21)</f>
        <v>44407.354585100002</v>
      </c>
      <c r="D21" s="41"/>
      <c r="E21" s="41"/>
      <c r="F21" s="41">
        <v>33641.532661099998</v>
      </c>
      <c r="G21" s="41">
        <v>9783</v>
      </c>
      <c r="H21" s="33">
        <v>982.82192399999997</v>
      </c>
      <c r="I21" s="34">
        <v>1400</v>
      </c>
      <c r="K21" s="49"/>
      <c r="L21" s="41"/>
      <c r="M21" s="41"/>
      <c r="N21" s="41"/>
      <c r="O21" s="33"/>
      <c r="P21" s="34"/>
    </row>
    <row r="22" spans="2:16" ht="13.5" customHeight="1" x14ac:dyDescent="0.3">
      <c r="B22" s="7" t="s">
        <v>17</v>
      </c>
      <c r="C22" s="17"/>
      <c r="D22" s="41"/>
      <c r="E22" s="41"/>
      <c r="F22" s="41"/>
      <c r="G22" s="41"/>
      <c r="H22" s="33"/>
      <c r="I22" s="34"/>
      <c r="K22" s="18"/>
      <c r="L22" s="21"/>
      <c r="M22" s="21"/>
      <c r="N22" s="21"/>
      <c r="O22" s="15"/>
      <c r="P22" s="16"/>
    </row>
    <row r="23" spans="2:16" ht="13.5" customHeight="1" x14ac:dyDescent="0.3">
      <c r="B23" s="7" t="s">
        <v>18</v>
      </c>
      <c r="C23" s="17"/>
      <c r="D23" s="41"/>
      <c r="E23" s="41"/>
      <c r="F23" s="41"/>
      <c r="G23" s="41"/>
      <c r="H23" s="33"/>
      <c r="I23" s="34"/>
      <c r="K23" s="18"/>
      <c r="L23" s="21"/>
      <c r="M23" s="21"/>
      <c r="N23" s="21"/>
      <c r="O23" s="15"/>
      <c r="P23" s="16"/>
    </row>
    <row r="24" spans="2:16" ht="13.5" customHeight="1" x14ac:dyDescent="0.3">
      <c r="B24" s="7" t="s">
        <v>19</v>
      </c>
      <c r="C24" s="17">
        <f t="shared" si="4"/>
        <v>416.83186699999993</v>
      </c>
      <c r="D24" s="41">
        <v>400.85469899999993</v>
      </c>
      <c r="E24" s="41"/>
      <c r="F24" s="41"/>
      <c r="G24" s="41"/>
      <c r="H24" s="33">
        <v>15.977168000000001</v>
      </c>
      <c r="I24" s="34">
        <v>35339</v>
      </c>
      <c r="K24" s="49"/>
      <c r="L24" s="41"/>
      <c r="M24" s="41"/>
      <c r="N24" s="41"/>
      <c r="O24" s="33"/>
      <c r="P24" s="34"/>
    </row>
    <row r="25" spans="2:16" ht="13.5" customHeight="1" x14ac:dyDescent="0.3">
      <c r="B25" s="7" t="s">
        <v>20</v>
      </c>
      <c r="C25" s="17">
        <f t="shared" si="4"/>
        <v>31968.191534999998</v>
      </c>
      <c r="D25" s="41">
        <v>29554</v>
      </c>
      <c r="E25" s="41"/>
      <c r="F25" s="41"/>
      <c r="G25" s="41"/>
      <c r="H25" s="33">
        <v>2414.1915349999999</v>
      </c>
      <c r="I25" s="34">
        <v>10481</v>
      </c>
      <c r="K25" s="49"/>
      <c r="L25" s="41"/>
      <c r="M25" s="41"/>
      <c r="N25" s="41"/>
      <c r="O25" s="33"/>
      <c r="P25" s="34"/>
    </row>
    <row r="26" spans="2:16" ht="13.5" customHeight="1" thickBot="1" x14ac:dyDescent="0.35">
      <c r="B26" s="8" t="s">
        <v>21</v>
      </c>
      <c r="C26" s="17">
        <f t="shared" si="4"/>
        <v>129</v>
      </c>
      <c r="D26" s="38">
        <v>0</v>
      </c>
      <c r="E26" s="38"/>
      <c r="F26" s="38"/>
      <c r="G26" s="38"/>
      <c r="H26" s="39">
        <v>129</v>
      </c>
      <c r="I26" s="40"/>
      <c r="K26" s="50"/>
      <c r="L26" s="38"/>
      <c r="M26" s="38"/>
      <c r="N26" s="38"/>
      <c r="O26" s="39"/>
      <c r="P26" s="40"/>
    </row>
    <row r="27" spans="2:16" ht="13.5" customHeight="1" thickBot="1" x14ac:dyDescent="0.35">
      <c r="B27" s="10" t="s">
        <v>22</v>
      </c>
      <c r="C27" s="22"/>
      <c r="D27" s="42">
        <v>14310.999999999998</v>
      </c>
      <c r="E27" s="42">
        <v>10473.871361776541</v>
      </c>
      <c r="F27" s="42">
        <v>8292.5482359610724</v>
      </c>
      <c r="G27" s="42">
        <v>9838.690437717607</v>
      </c>
      <c r="H27" s="43">
        <v>17283.999999999996</v>
      </c>
      <c r="I27" s="44">
        <v>29500</v>
      </c>
      <c r="L27" s="43">
        <v>15120</v>
      </c>
      <c r="M27" s="42"/>
      <c r="N27" s="42"/>
      <c r="O27" s="43">
        <v>16920</v>
      </c>
      <c r="P27" s="44"/>
    </row>
    <row r="28" spans="2:16" ht="15" customHeight="1" x14ac:dyDescent="0.3"/>
    <row r="29" spans="2:16" x14ac:dyDescent="0.3">
      <c r="G29" s="2"/>
      <c r="H29" s="2"/>
    </row>
    <row r="30" spans="2:16" x14ac:dyDescent="0.3">
      <c r="B30" s="11"/>
      <c r="C30" s="13"/>
      <c r="G30" s="2"/>
      <c r="H30" s="2"/>
    </row>
    <row r="31" spans="2:16" x14ac:dyDescent="0.3">
      <c r="G31" s="2"/>
      <c r="H31" s="2"/>
    </row>
    <row r="32" spans="2:16" x14ac:dyDescent="0.3">
      <c r="G32" s="2"/>
      <c r="H32" s="2"/>
    </row>
    <row r="33" spans="2:8" x14ac:dyDescent="0.3">
      <c r="B33" s="12"/>
      <c r="G33" s="2"/>
      <c r="H33" s="2"/>
    </row>
    <row r="34" spans="2:8" x14ac:dyDescent="0.3">
      <c r="B34" s="12"/>
      <c r="G34" s="2"/>
      <c r="H34" s="2"/>
    </row>
    <row r="35" spans="2:8" x14ac:dyDescent="0.3">
      <c r="B35" s="12"/>
      <c r="G35" s="2"/>
      <c r="H35" s="2"/>
    </row>
    <row r="36" spans="2:8" x14ac:dyDescent="0.3">
      <c r="B36" s="13"/>
      <c r="C36" s="13"/>
      <c r="G36" s="2"/>
      <c r="H36" s="2"/>
    </row>
    <row r="37" spans="2:8" x14ac:dyDescent="0.3">
      <c r="B37" s="12"/>
      <c r="G37" s="2"/>
      <c r="H37" s="2"/>
    </row>
    <row r="38" spans="2:8" x14ac:dyDescent="0.3">
      <c r="B38" s="6"/>
      <c r="C38" s="6"/>
      <c r="G38" s="2"/>
      <c r="H38" s="2"/>
    </row>
    <row r="39" spans="2:8" x14ac:dyDescent="0.3">
      <c r="B39" s="6"/>
      <c r="C39" s="6"/>
      <c r="G39" s="2"/>
      <c r="H39" s="2"/>
    </row>
    <row r="40" spans="2:8" x14ac:dyDescent="0.3">
      <c r="B40" s="6"/>
      <c r="C40" s="6"/>
      <c r="G40" s="2"/>
      <c r="H40" s="2"/>
    </row>
    <row r="41" spans="2:8" x14ac:dyDescent="0.3">
      <c r="B41" s="6"/>
      <c r="C41" s="6"/>
      <c r="G41" s="2"/>
      <c r="H41" s="2"/>
    </row>
    <row r="42" spans="2:8" x14ac:dyDescent="0.3">
      <c r="B42" s="6"/>
      <c r="C42" s="6"/>
      <c r="G42" s="2"/>
      <c r="H42" s="2"/>
    </row>
    <row r="43" spans="2:8" x14ac:dyDescent="0.3">
      <c r="B43" s="12"/>
      <c r="G43" s="2"/>
      <c r="H43" s="2"/>
    </row>
    <row r="44" spans="2:8" x14ac:dyDescent="0.3">
      <c r="B44" s="12"/>
      <c r="G44" s="2"/>
      <c r="H44" s="2"/>
    </row>
    <row r="45" spans="2:8" x14ac:dyDescent="0.3">
      <c r="B45" s="12"/>
      <c r="G45" s="2"/>
      <c r="H45" s="2"/>
    </row>
    <row r="46" spans="2:8" x14ac:dyDescent="0.3">
      <c r="B46" s="13"/>
      <c r="C46" s="13"/>
      <c r="G46" s="2"/>
      <c r="H46" s="2"/>
    </row>
    <row r="47" spans="2:8" x14ac:dyDescent="0.3">
      <c r="B47" s="14"/>
      <c r="C47" s="14"/>
      <c r="G47" s="2"/>
      <c r="H47" s="2"/>
    </row>
    <row r="48" spans="2:8" x14ac:dyDescent="0.3">
      <c r="B48" s="14"/>
      <c r="C48" s="14"/>
      <c r="G48" s="2"/>
      <c r="H48" s="2"/>
    </row>
    <row r="49" spans="2:3" x14ac:dyDescent="0.3">
      <c r="B49" s="14"/>
      <c r="C49" s="14"/>
    </row>
    <row r="50" spans="2:3" x14ac:dyDescent="0.3">
      <c r="B50" s="14"/>
      <c r="C50" s="14"/>
    </row>
    <row r="51" spans="2:3" x14ac:dyDescent="0.3">
      <c r="B51" s="14"/>
      <c r="C51" s="14"/>
    </row>
    <row r="52" spans="2:3" x14ac:dyDescent="0.3">
      <c r="B52" s="14"/>
      <c r="C52" s="14"/>
    </row>
    <row r="53" spans="2:3" x14ac:dyDescent="0.3">
      <c r="B53" s="14"/>
      <c r="C53" s="14"/>
    </row>
    <row r="54" spans="2:3" x14ac:dyDescent="0.3">
      <c r="B54" s="12"/>
    </row>
  </sheetData>
  <mergeCells count="2">
    <mergeCell ref="C2:I2"/>
    <mergeCell ref="K2:P2"/>
  </mergeCells>
  <printOptions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4"/>
  <sheetViews>
    <sheetView tabSelected="1" topLeftCell="B1" zoomScale="70" zoomScaleNormal="70" workbookViewId="0">
      <selection activeCell="C11" sqref="C11"/>
    </sheetView>
  </sheetViews>
  <sheetFormatPr defaultRowHeight="13" x14ac:dyDescent="0.3"/>
  <cols>
    <col min="1" max="1" width="3.26953125" style="2" customWidth="1"/>
    <col min="2" max="2" width="22.26953125" style="1" customWidth="1"/>
    <col min="3" max="3" width="7.81640625" style="12" customWidth="1"/>
    <col min="4" max="5" width="8.81640625" style="24" customWidth="1"/>
    <col min="6" max="6" width="6.81640625" style="24" customWidth="1"/>
    <col min="7" max="9" width="7.81640625" style="24" customWidth="1"/>
    <col min="10" max="10" width="2.6328125" style="2" customWidth="1"/>
    <col min="11" max="16384" width="8.7265625" style="2"/>
  </cols>
  <sheetData>
    <row r="1" spans="2:24" ht="13.5" customHeight="1" thickBot="1" x14ac:dyDescent="0.35">
      <c r="B1" s="23" t="s">
        <v>74</v>
      </c>
    </row>
    <row r="2" spans="2:24" ht="13.5" customHeight="1" thickBot="1" x14ac:dyDescent="0.35">
      <c r="C2" s="208" t="s">
        <v>43</v>
      </c>
      <c r="D2" s="209"/>
      <c r="E2" s="209"/>
      <c r="F2" s="209"/>
      <c r="G2" s="209"/>
      <c r="H2" s="209"/>
      <c r="I2" s="210"/>
      <c r="J2" s="60"/>
      <c r="K2" s="211" t="s">
        <v>76</v>
      </c>
      <c r="L2" s="212"/>
      <c r="M2" s="212"/>
      <c r="N2" s="212"/>
      <c r="O2" s="212"/>
      <c r="P2" s="213"/>
    </row>
    <row r="3" spans="2:24" ht="39.5" customHeight="1" x14ac:dyDescent="0.3">
      <c r="B3" s="3" t="s">
        <v>0</v>
      </c>
      <c r="C3" s="25" t="s">
        <v>30</v>
      </c>
      <c r="D3" s="26" t="s">
        <v>23</v>
      </c>
      <c r="E3" s="26" t="s">
        <v>24</v>
      </c>
      <c r="F3" s="26" t="s">
        <v>25</v>
      </c>
      <c r="G3" s="26" t="s">
        <v>31</v>
      </c>
      <c r="H3" s="27" t="s">
        <v>33</v>
      </c>
      <c r="I3" s="28" t="s">
        <v>27</v>
      </c>
      <c r="K3" s="25" t="s">
        <v>41</v>
      </c>
      <c r="L3" s="26" t="s">
        <v>23</v>
      </c>
      <c r="M3" s="26" t="s">
        <v>24</v>
      </c>
      <c r="N3" s="28" t="s">
        <v>25</v>
      </c>
      <c r="O3" s="27" t="s">
        <v>33</v>
      </c>
      <c r="P3" s="28" t="s">
        <v>27</v>
      </c>
    </row>
    <row r="4" spans="2:24" ht="13.5" customHeight="1" thickBot="1" x14ac:dyDescent="0.35">
      <c r="B4" s="4">
        <v>2013</v>
      </c>
      <c r="C4" s="65" t="s">
        <v>29</v>
      </c>
      <c r="D4" s="30" t="s">
        <v>29</v>
      </c>
      <c r="E4" s="30" t="s">
        <v>29</v>
      </c>
      <c r="F4" s="30" t="s">
        <v>29</v>
      </c>
      <c r="G4" s="30" t="s">
        <v>29</v>
      </c>
      <c r="H4" s="31" t="s">
        <v>29</v>
      </c>
      <c r="I4" s="32" t="s">
        <v>28</v>
      </c>
      <c r="K4" s="29" t="s">
        <v>29</v>
      </c>
      <c r="L4" s="30" t="s">
        <v>29</v>
      </c>
      <c r="M4" s="30" t="s">
        <v>29</v>
      </c>
      <c r="N4" s="32" t="s">
        <v>29</v>
      </c>
      <c r="O4" s="72" t="s">
        <v>29</v>
      </c>
      <c r="P4" s="73" t="s">
        <v>28</v>
      </c>
      <c r="U4" s="2" t="s">
        <v>80</v>
      </c>
      <c r="V4" s="2" t="s">
        <v>81</v>
      </c>
      <c r="W4" s="2" t="s">
        <v>82</v>
      </c>
    </row>
    <row r="5" spans="2:24" ht="13.5" customHeight="1" x14ac:dyDescent="0.3">
      <c r="B5" s="5" t="s">
        <v>1</v>
      </c>
      <c r="C5" s="45">
        <f>SUM(D5:H5)</f>
        <v>88966.503360000002</v>
      </c>
      <c r="D5" s="35">
        <v>88966.503360000002</v>
      </c>
      <c r="E5" s="35"/>
      <c r="F5" s="35"/>
      <c r="G5" s="35"/>
      <c r="H5" s="36"/>
      <c r="I5" s="37"/>
      <c r="K5" s="49">
        <f>SUM(L5:O5)</f>
        <v>171247.71419999999</v>
      </c>
      <c r="L5" s="36">
        <f>V7*L$27/1000000*0.75</f>
        <v>159691.3542</v>
      </c>
      <c r="M5" s="74"/>
      <c r="N5" s="74"/>
      <c r="O5" s="36">
        <f>W7*O$27/1000000</f>
        <v>11556.36</v>
      </c>
      <c r="P5" s="37">
        <f>U7</f>
        <v>51200</v>
      </c>
      <c r="T5" s="2" t="s">
        <v>79</v>
      </c>
      <c r="U5" s="24">
        <v>7900</v>
      </c>
      <c r="V5" s="24">
        <v>149090</v>
      </c>
      <c r="W5" s="24">
        <v>743626</v>
      </c>
    </row>
    <row r="6" spans="2:24" ht="13.5" customHeight="1" x14ac:dyDescent="0.3">
      <c r="B6" s="7" t="s">
        <v>2</v>
      </c>
      <c r="C6" s="17">
        <f t="shared" ref="C6:C7" si="0">SUM(D6:H6)</f>
        <v>61.999999999999993</v>
      </c>
      <c r="D6" s="41">
        <v>61.999999999999993</v>
      </c>
      <c r="E6" s="41"/>
      <c r="F6" s="41"/>
      <c r="G6" s="41"/>
      <c r="H6" s="33"/>
      <c r="I6" s="34"/>
      <c r="K6" s="49">
        <f>SUM(L6:O6)</f>
        <v>26.057880000000001</v>
      </c>
      <c r="L6" s="33">
        <f>V6*L$27/1000000*0.75</f>
        <v>1.2700800000000001</v>
      </c>
      <c r="M6" s="41"/>
      <c r="N6" s="41"/>
      <c r="O6" s="33">
        <f>W6*O$27/1000000</f>
        <v>24.787800000000001</v>
      </c>
      <c r="P6" s="34">
        <f>U6</f>
        <v>2478</v>
      </c>
      <c r="T6" s="2" t="s">
        <v>78</v>
      </c>
      <c r="U6" s="24">
        <v>2478</v>
      </c>
      <c r="V6" s="24">
        <v>112</v>
      </c>
      <c r="W6" s="24">
        <v>1465</v>
      </c>
    </row>
    <row r="7" spans="2:24" ht="13.5" customHeight="1" x14ac:dyDescent="0.3">
      <c r="B7" s="7" t="s">
        <v>3</v>
      </c>
      <c r="C7" s="17">
        <f t="shared" si="0"/>
        <v>277</v>
      </c>
      <c r="D7" s="41">
        <v>277</v>
      </c>
      <c r="E7" s="41"/>
      <c r="F7" s="41"/>
      <c r="G7" s="41"/>
      <c r="H7" s="33"/>
      <c r="I7" s="34"/>
      <c r="K7" s="49">
        <f>SUM(L7:O7)</f>
        <v>14272.83252</v>
      </c>
      <c r="L7" s="33">
        <f>V5*L$27/1000000*0.75</f>
        <v>1690.6806000000001</v>
      </c>
      <c r="M7" s="41"/>
      <c r="N7" s="41"/>
      <c r="O7" s="33">
        <f>W5*O$27/1000000</f>
        <v>12582.15192</v>
      </c>
      <c r="P7" s="34">
        <f>U5</f>
        <v>7900</v>
      </c>
      <c r="T7" s="2" t="s">
        <v>77</v>
      </c>
      <c r="U7" s="2">
        <v>51200</v>
      </c>
      <c r="V7" s="24">
        <v>14082130</v>
      </c>
      <c r="W7" s="24">
        <v>683000</v>
      </c>
    </row>
    <row r="8" spans="2:24" ht="13.5" customHeight="1" x14ac:dyDescent="0.3">
      <c r="B8" s="7" t="s">
        <v>4</v>
      </c>
      <c r="C8" s="17"/>
      <c r="D8" s="41"/>
      <c r="E8" s="41"/>
      <c r="F8" s="41"/>
      <c r="G8" s="41"/>
      <c r="H8" s="33"/>
      <c r="I8" s="34"/>
      <c r="K8" s="49"/>
      <c r="L8" s="21"/>
      <c r="M8" s="21"/>
      <c r="N8" s="21"/>
      <c r="O8" s="15"/>
      <c r="P8" s="16"/>
    </row>
    <row r="9" spans="2:24" ht="13.5" customHeight="1" x14ac:dyDescent="0.3">
      <c r="B9" s="7" t="s">
        <v>5</v>
      </c>
      <c r="C9" s="17"/>
      <c r="D9" s="41"/>
      <c r="E9" s="41"/>
      <c r="F9" s="41"/>
      <c r="G9" s="41"/>
      <c r="H9" s="33"/>
      <c r="I9" s="34"/>
      <c r="K9" s="49"/>
      <c r="L9" s="21"/>
      <c r="M9" s="21"/>
      <c r="N9" s="21"/>
      <c r="O9" s="15"/>
      <c r="P9" s="16"/>
    </row>
    <row r="10" spans="2:24" ht="13.5" customHeight="1" thickBot="1" x14ac:dyDescent="0.35">
      <c r="B10" s="46" t="s">
        <v>6</v>
      </c>
      <c r="C10" s="47">
        <f>SUM(D10:H10)</f>
        <v>88751.503360000002</v>
      </c>
      <c r="D10" s="61">
        <f>D5+D6-D7+D8</f>
        <v>88751.503360000002</v>
      </c>
      <c r="E10" s="61"/>
      <c r="F10" s="61"/>
      <c r="G10" s="61"/>
      <c r="H10" s="66">
        <f>H5</f>
        <v>0</v>
      </c>
      <c r="I10" s="62"/>
      <c r="K10" s="51">
        <f>SUM(L10:O10)</f>
        <v>157000.93956</v>
      </c>
      <c r="L10" s="66">
        <f>L5+L6-L7</f>
        <v>158001.94368</v>
      </c>
      <c r="M10" s="53"/>
      <c r="N10" s="53"/>
      <c r="O10" s="66">
        <f>O5+O6-O7</f>
        <v>-1001.0041199999996</v>
      </c>
      <c r="P10" s="62">
        <f>P5+P6-P7</f>
        <v>45778</v>
      </c>
    </row>
    <row r="11" spans="2:24" ht="13.5" customHeight="1" thickBot="1" x14ac:dyDescent="0.35">
      <c r="B11" s="8" t="s">
        <v>7</v>
      </c>
      <c r="C11" s="19"/>
      <c r="D11" s="38"/>
      <c r="E11" s="38"/>
      <c r="F11" s="38"/>
      <c r="G11" s="38"/>
      <c r="H11" s="39"/>
      <c r="I11" s="40"/>
      <c r="K11" s="55">
        <f>SUM(L11:O11)</f>
        <v>0</v>
      </c>
      <c r="L11" s="67"/>
      <c r="M11" s="67"/>
      <c r="N11" s="68"/>
      <c r="O11" s="39"/>
      <c r="P11" s="40"/>
    </row>
    <row r="12" spans="2:24" ht="13.5" customHeight="1" x14ac:dyDescent="0.3">
      <c r="B12" s="7" t="s">
        <v>8</v>
      </c>
      <c r="C12" s="17"/>
      <c r="H12" s="33"/>
      <c r="I12" s="34"/>
      <c r="K12" s="49"/>
      <c r="L12" s="41"/>
      <c r="M12" s="41"/>
      <c r="N12" s="34"/>
      <c r="O12" s="33"/>
      <c r="P12" s="34"/>
      <c r="V12" s="24"/>
      <c r="W12" s="24"/>
      <c r="X12" s="24"/>
    </row>
    <row r="13" spans="2:24" ht="13.5" customHeight="1" x14ac:dyDescent="0.3">
      <c r="B13" s="7" t="s">
        <v>9</v>
      </c>
      <c r="C13" s="17">
        <f>SUM(D13:H13)</f>
        <v>832</v>
      </c>
      <c r="D13" s="24">
        <v>832</v>
      </c>
      <c r="H13" s="33"/>
      <c r="I13" s="34"/>
      <c r="K13" s="18"/>
      <c r="L13" s="21"/>
      <c r="M13" s="21"/>
      <c r="N13" s="16"/>
      <c r="O13" s="15"/>
      <c r="P13" s="16"/>
      <c r="V13" s="24"/>
      <c r="W13" s="24"/>
      <c r="X13" s="24"/>
    </row>
    <row r="14" spans="2:24" ht="13.5" customHeight="1" x14ac:dyDescent="0.3">
      <c r="B14" s="7" t="s">
        <v>10</v>
      </c>
      <c r="C14" s="17">
        <f t="shared" ref="C14" si="1">SUM(D14:H14)</f>
        <v>35125</v>
      </c>
      <c r="D14" s="24">
        <v>35125</v>
      </c>
      <c r="H14" s="33"/>
      <c r="I14" s="34"/>
      <c r="K14" s="18"/>
      <c r="L14" s="21"/>
      <c r="M14" s="21"/>
      <c r="N14" s="16"/>
      <c r="O14" s="15"/>
      <c r="P14" s="16"/>
      <c r="U14" s="24"/>
      <c r="V14" s="24"/>
      <c r="W14" s="24"/>
      <c r="X14" s="24"/>
    </row>
    <row r="15" spans="2:24" ht="13.5" customHeight="1" x14ac:dyDescent="0.3">
      <c r="B15" s="7" t="s">
        <v>11</v>
      </c>
      <c r="C15" s="17"/>
      <c r="H15" s="33"/>
      <c r="I15" s="34"/>
      <c r="K15" s="18"/>
      <c r="L15" s="21"/>
      <c r="M15" s="21"/>
      <c r="N15" s="16"/>
      <c r="O15" s="15"/>
      <c r="P15" s="16"/>
      <c r="U15" s="24"/>
      <c r="V15" s="24"/>
      <c r="W15" s="24"/>
      <c r="X15" s="24"/>
    </row>
    <row r="16" spans="2:24" ht="13.5" customHeight="1" x14ac:dyDescent="0.3">
      <c r="B16" s="7" t="s">
        <v>34</v>
      </c>
      <c r="C16" s="17"/>
      <c r="H16" s="33"/>
      <c r="I16" s="34"/>
      <c r="K16" s="18"/>
      <c r="L16" s="21"/>
      <c r="M16" s="21"/>
      <c r="N16" s="16"/>
      <c r="O16" s="15"/>
      <c r="P16" s="16"/>
      <c r="U16" s="24"/>
      <c r="V16" s="24"/>
      <c r="W16" s="24"/>
    </row>
    <row r="17" spans="2:23" ht="13.5" customHeight="1" x14ac:dyDescent="0.3">
      <c r="B17" s="7" t="s">
        <v>12</v>
      </c>
      <c r="C17" s="17"/>
      <c r="H17" s="33"/>
      <c r="I17" s="34"/>
      <c r="K17" s="18"/>
      <c r="L17" s="21"/>
      <c r="M17" s="21"/>
      <c r="N17" s="16"/>
      <c r="O17" s="15"/>
      <c r="P17" s="16"/>
      <c r="V17" s="24"/>
      <c r="W17" s="24"/>
    </row>
    <row r="18" spans="2:23" ht="13.5" customHeight="1" x14ac:dyDescent="0.3">
      <c r="B18" s="7" t="s">
        <v>13</v>
      </c>
      <c r="C18" s="17"/>
      <c r="H18" s="33"/>
      <c r="I18" s="34"/>
      <c r="K18" s="18"/>
      <c r="L18" s="21"/>
      <c r="M18" s="21"/>
      <c r="N18" s="16"/>
      <c r="O18" s="15"/>
      <c r="P18" s="16"/>
      <c r="U18" s="24"/>
      <c r="V18" s="24"/>
      <c r="W18" s="24"/>
    </row>
    <row r="19" spans="2:23" ht="13.5" customHeight="1" thickBot="1" x14ac:dyDescent="0.35">
      <c r="B19" s="7" t="s">
        <v>14</v>
      </c>
      <c r="C19" s="17"/>
      <c r="H19" s="33"/>
      <c r="I19" s="34"/>
      <c r="K19" s="18"/>
      <c r="L19" s="21"/>
      <c r="M19" s="21"/>
      <c r="N19" s="16"/>
      <c r="O19" s="15"/>
      <c r="P19" s="16"/>
      <c r="V19" s="24"/>
    </row>
    <row r="20" spans="2:23" ht="13.5" customHeight="1" x14ac:dyDescent="0.3">
      <c r="B20" s="9" t="s">
        <v>15</v>
      </c>
      <c r="C20" s="20">
        <f>SUM(D20:H20)</f>
        <v>90678.996799999994</v>
      </c>
      <c r="D20" s="58">
        <f>SUM(D21:D26)</f>
        <v>90678.996799999994</v>
      </c>
      <c r="E20" s="58"/>
      <c r="F20" s="58"/>
      <c r="G20" s="58"/>
      <c r="H20" s="57">
        <f>H25</f>
        <v>0</v>
      </c>
      <c r="I20" s="59"/>
      <c r="K20" s="56"/>
      <c r="L20" s="58"/>
      <c r="M20" s="58"/>
      <c r="N20" s="58"/>
      <c r="O20" s="57"/>
      <c r="P20" s="59"/>
    </row>
    <row r="21" spans="2:23" ht="13.5" customHeight="1" x14ac:dyDescent="0.3">
      <c r="B21" s="7" t="s">
        <v>16</v>
      </c>
      <c r="C21" s="17">
        <f t="shared" ref="C21" si="2">SUM(D21:H21)</f>
        <v>4223</v>
      </c>
      <c r="D21" s="41">
        <v>4223</v>
      </c>
      <c r="E21" s="41"/>
      <c r="F21" s="41"/>
      <c r="G21" s="41"/>
      <c r="H21" s="33"/>
      <c r="I21" s="34"/>
      <c r="K21" s="49"/>
      <c r="L21" s="41"/>
      <c r="M21" s="41"/>
      <c r="N21" s="41"/>
      <c r="O21" s="33"/>
      <c r="P21" s="34"/>
    </row>
    <row r="22" spans="2:23" ht="13.5" customHeight="1" x14ac:dyDescent="0.3">
      <c r="B22" s="7" t="s">
        <v>17</v>
      </c>
      <c r="C22" s="17"/>
      <c r="D22" s="41"/>
      <c r="E22" s="41"/>
      <c r="F22" s="41"/>
      <c r="G22" s="41"/>
      <c r="H22" s="33"/>
      <c r="I22" s="34"/>
      <c r="K22" s="18"/>
      <c r="L22" s="21"/>
      <c r="M22" s="21"/>
      <c r="N22" s="21"/>
      <c r="O22" s="15"/>
      <c r="P22" s="16"/>
    </row>
    <row r="23" spans="2:23" ht="13.5" customHeight="1" x14ac:dyDescent="0.3">
      <c r="B23" s="7" t="s">
        <v>18</v>
      </c>
      <c r="C23" s="17"/>
      <c r="D23" s="41"/>
      <c r="E23" s="41"/>
      <c r="F23" s="41"/>
      <c r="G23" s="41"/>
      <c r="H23" s="33"/>
      <c r="I23" s="34"/>
      <c r="K23" s="18"/>
      <c r="L23" s="21"/>
      <c r="M23" s="21"/>
      <c r="N23" s="21"/>
      <c r="O23" s="15"/>
      <c r="P23" s="16"/>
    </row>
    <row r="24" spans="2:23" ht="13.5" customHeight="1" x14ac:dyDescent="0.3">
      <c r="B24" s="7" t="s">
        <v>19</v>
      </c>
      <c r="C24" s="17">
        <f t="shared" ref="C24:C26" si="3">SUM(D24:H24)</f>
        <v>30899</v>
      </c>
      <c r="D24" s="41">
        <v>30899</v>
      </c>
      <c r="E24" s="41"/>
      <c r="F24" s="41"/>
      <c r="G24" s="41"/>
      <c r="H24" s="33"/>
      <c r="I24" s="34"/>
      <c r="K24" s="49"/>
      <c r="L24" s="41"/>
      <c r="M24" s="41"/>
      <c r="N24" s="41"/>
      <c r="O24" s="33"/>
      <c r="P24" s="34"/>
    </row>
    <row r="25" spans="2:23" ht="13.5" customHeight="1" x14ac:dyDescent="0.3">
      <c r="B25" s="7" t="s">
        <v>20</v>
      </c>
      <c r="C25" s="17">
        <f t="shared" si="3"/>
        <v>50413.996800000001</v>
      </c>
      <c r="D25" s="41">
        <v>50413.996800000001</v>
      </c>
      <c r="E25" s="41"/>
      <c r="F25" s="41"/>
      <c r="G25" s="41"/>
      <c r="H25" s="33"/>
      <c r="I25" s="34"/>
      <c r="K25" s="49"/>
      <c r="L25" s="41"/>
      <c r="M25" s="41"/>
      <c r="N25" s="41"/>
      <c r="O25" s="33"/>
      <c r="P25" s="34"/>
    </row>
    <row r="26" spans="2:23" ht="13.5" customHeight="1" thickBot="1" x14ac:dyDescent="0.35">
      <c r="B26" s="8" t="s">
        <v>21</v>
      </c>
      <c r="C26" s="17">
        <f t="shared" si="3"/>
        <v>5143</v>
      </c>
      <c r="D26" s="38">
        <v>5143</v>
      </c>
      <c r="E26" s="38"/>
      <c r="F26" s="38"/>
      <c r="G26" s="38"/>
      <c r="H26" s="39"/>
      <c r="I26" s="40"/>
      <c r="K26" s="50"/>
      <c r="L26" s="38"/>
      <c r="M26" s="38"/>
      <c r="N26" s="38"/>
      <c r="O26" s="39"/>
      <c r="P26" s="40"/>
    </row>
    <row r="27" spans="2:23" ht="13.5" customHeight="1" thickBot="1" x14ac:dyDescent="0.35">
      <c r="B27" s="10" t="s">
        <v>22</v>
      </c>
      <c r="C27" s="22"/>
      <c r="D27" s="42">
        <v>15120</v>
      </c>
      <c r="E27" s="42"/>
      <c r="F27" s="42"/>
      <c r="G27" s="42"/>
      <c r="H27" s="43"/>
      <c r="I27" s="44"/>
      <c r="L27" s="43">
        <v>15120</v>
      </c>
      <c r="M27" s="42"/>
      <c r="N27" s="42"/>
      <c r="O27" s="43">
        <v>16920</v>
      </c>
      <c r="P27" s="44"/>
    </row>
    <row r="28" spans="2:23" ht="15" customHeight="1" x14ac:dyDescent="0.3"/>
    <row r="29" spans="2:23" x14ac:dyDescent="0.3">
      <c r="G29" s="2"/>
      <c r="H29" s="2"/>
    </row>
    <row r="30" spans="2:23" x14ac:dyDescent="0.3">
      <c r="B30" s="11"/>
      <c r="C30" s="13"/>
      <c r="G30" s="2"/>
      <c r="H30" s="2"/>
    </row>
    <row r="31" spans="2:23" x14ac:dyDescent="0.3">
      <c r="D31" s="12"/>
      <c r="E31" s="12"/>
      <c r="G31" s="2"/>
      <c r="H31" s="2"/>
    </row>
    <row r="32" spans="2:23" x14ac:dyDescent="0.3">
      <c r="G32" s="2"/>
      <c r="H32" s="2"/>
    </row>
    <row r="33" spans="2:8" x14ac:dyDescent="0.3">
      <c r="B33" s="12"/>
      <c r="G33" s="2"/>
      <c r="H33" s="2"/>
    </row>
    <row r="34" spans="2:8" x14ac:dyDescent="0.3">
      <c r="B34" s="12"/>
      <c r="G34" s="2"/>
      <c r="H34" s="2"/>
    </row>
    <row r="35" spans="2:8" x14ac:dyDescent="0.3">
      <c r="B35" s="12"/>
      <c r="G35" s="2"/>
      <c r="H35" s="2"/>
    </row>
    <row r="36" spans="2:8" x14ac:dyDescent="0.3">
      <c r="B36" s="13"/>
      <c r="C36" s="13"/>
      <c r="G36" s="2"/>
      <c r="H36" s="2"/>
    </row>
    <row r="37" spans="2:8" x14ac:dyDescent="0.3">
      <c r="B37" s="12"/>
      <c r="G37" s="2"/>
      <c r="H37" s="2"/>
    </row>
    <row r="38" spans="2:8" x14ac:dyDescent="0.3">
      <c r="B38" s="6"/>
      <c r="C38" s="6"/>
      <c r="G38" s="2"/>
      <c r="H38" s="2"/>
    </row>
    <row r="39" spans="2:8" x14ac:dyDescent="0.3">
      <c r="B39" s="6"/>
      <c r="C39" s="6"/>
      <c r="G39" s="2"/>
      <c r="H39" s="2"/>
    </row>
    <row r="40" spans="2:8" x14ac:dyDescent="0.3">
      <c r="B40" s="6"/>
      <c r="C40" s="6"/>
      <c r="G40" s="2"/>
      <c r="H40" s="2"/>
    </row>
    <row r="41" spans="2:8" x14ac:dyDescent="0.3">
      <c r="B41" s="6"/>
      <c r="C41" s="6"/>
      <c r="G41" s="2"/>
      <c r="H41" s="2"/>
    </row>
    <row r="42" spans="2:8" x14ac:dyDescent="0.3">
      <c r="B42" s="6"/>
      <c r="C42" s="6"/>
      <c r="G42" s="2"/>
      <c r="H42" s="2"/>
    </row>
    <row r="43" spans="2:8" x14ac:dyDescent="0.3">
      <c r="B43" s="12"/>
      <c r="G43" s="2"/>
      <c r="H43" s="2"/>
    </row>
    <row r="44" spans="2:8" x14ac:dyDescent="0.3">
      <c r="B44" s="12"/>
      <c r="G44" s="2"/>
      <c r="H44" s="2"/>
    </row>
    <row r="45" spans="2:8" x14ac:dyDescent="0.3">
      <c r="B45" s="12"/>
      <c r="G45" s="2"/>
      <c r="H45" s="2"/>
    </row>
    <row r="46" spans="2:8" x14ac:dyDescent="0.3">
      <c r="B46" s="13"/>
      <c r="C46" s="13"/>
      <c r="G46" s="2"/>
      <c r="H46" s="2"/>
    </row>
    <row r="47" spans="2:8" x14ac:dyDescent="0.3">
      <c r="B47" s="14"/>
      <c r="C47" s="14"/>
      <c r="G47" s="2"/>
      <c r="H47" s="2"/>
    </row>
    <row r="48" spans="2:8" x14ac:dyDescent="0.3">
      <c r="B48" s="14"/>
      <c r="C48" s="14"/>
      <c r="G48" s="2"/>
      <c r="H48" s="2"/>
    </row>
    <row r="49" spans="2:8" x14ac:dyDescent="0.3">
      <c r="B49" s="14"/>
      <c r="C49" s="14"/>
      <c r="G49" s="2"/>
      <c r="H49" s="2"/>
    </row>
    <row r="50" spans="2:8" x14ac:dyDescent="0.3">
      <c r="B50" s="14"/>
      <c r="C50" s="14"/>
      <c r="G50" s="2"/>
      <c r="H50" s="2"/>
    </row>
    <row r="51" spans="2:8" x14ac:dyDescent="0.3">
      <c r="B51" s="14"/>
      <c r="C51" s="14"/>
      <c r="G51" s="2"/>
      <c r="H51" s="2"/>
    </row>
    <row r="52" spans="2:8" x14ac:dyDescent="0.3">
      <c r="B52" s="14"/>
      <c r="C52" s="14"/>
      <c r="G52" s="2"/>
      <c r="H52" s="2"/>
    </row>
    <row r="53" spans="2:8" x14ac:dyDescent="0.3">
      <c r="B53" s="14"/>
      <c r="C53" s="14"/>
      <c r="G53" s="2"/>
      <c r="H53" s="2"/>
    </row>
    <row r="54" spans="2:8" x14ac:dyDescent="0.3">
      <c r="B54" s="12"/>
    </row>
  </sheetData>
  <mergeCells count="2">
    <mergeCell ref="C2:I2"/>
    <mergeCell ref="K2:P2"/>
  </mergeCells>
  <printOptions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4"/>
  <sheetViews>
    <sheetView tabSelected="1" zoomScale="70" zoomScaleNormal="70" workbookViewId="0">
      <selection activeCell="C11" sqref="C11"/>
    </sheetView>
  </sheetViews>
  <sheetFormatPr defaultRowHeight="13" x14ac:dyDescent="0.3"/>
  <cols>
    <col min="1" max="1" width="3.26953125" style="2" customWidth="1"/>
    <col min="2" max="2" width="22.26953125" style="1" customWidth="1"/>
    <col min="3" max="3" width="7.81640625" style="12" customWidth="1"/>
    <col min="4" max="5" width="8.81640625" style="24" customWidth="1"/>
    <col min="6" max="6" width="6.81640625" style="24" customWidth="1"/>
    <col min="7" max="9" width="7.81640625" style="24" customWidth="1"/>
    <col min="10" max="10" width="2.6328125" style="2" customWidth="1"/>
    <col min="11" max="16384" width="8.7265625" style="2"/>
  </cols>
  <sheetData>
    <row r="1" spans="2:20" ht="13.5" customHeight="1" thickBot="1" x14ac:dyDescent="0.35">
      <c r="B1" s="23" t="s">
        <v>65</v>
      </c>
    </row>
    <row r="2" spans="2:20" ht="13.5" customHeight="1" thickBot="1" x14ac:dyDescent="0.35">
      <c r="C2" s="208" t="s">
        <v>43</v>
      </c>
      <c r="D2" s="209"/>
      <c r="E2" s="209"/>
      <c r="F2" s="209"/>
      <c r="G2" s="209"/>
      <c r="H2" s="209"/>
      <c r="I2" s="210"/>
      <c r="J2" s="60"/>
      <c r="K2" s="211" t="s">
        <v>40</v>
      </c>
      <c r="L2" s="212"/>
      <c r="M2" s="212"/>
      <c r="N2" s="212"/>
      <c r="O2" s="212"/>
      <c r="P2" s="213"/>
    </row>
    <row r="3" spans="2:20" ht="39.5" customHeight="1" x14ac:dyDescent="0.3">
      <c r="B3" s="3" t="s">
        <v>0</v>
      </c>
      <c r="C3" s="25" t="s">
        <v>30</v>
      </c>
      <c r="D3" s="26" t="s">
        <v>23</v>
      </c>
      <c r="E3" s="26" t="s">
        <v>24</v>
      </c>
      <c r="F3" s="26" t="s">
        <v>25</v>
      </c>
      <c r="G3" s="26" t="s">
        <v>31</v>
      </c>
      <c r="H3" s="27" t="s">
        <v>33</v>
      </c>
      <c r="I3" s="28" t="s">
        <v>27</v>
      </c>
      <c r="K3" s="25" t="s">
        <v>41</v>
      </c>
      <c r="L3" s="26" t="s">
        <v>23</v>
      </c>
      <c r="M3" s="26" t="s">
        <v>24</v>
      </c>
      <c r="N3" s="28" t="s">
        <v>25</v>
      </c>
      <c r="O3" s="27" t="s">
        <v>33</v>
      </c>
      <c r="P3" s="28" t="s">
        <v>27</v>
      </c>
      <c r="S3" s="24"/>
    </row>
    <row r="4" spans="2:20" ht="13.5" customHeight="1" thickBot="1" x14ac:dyDescent="0.35">
      <c r="B4" s="4">
        <v>2013</v>
      </c>
      <c r="C4" s="29" t="s">
        <v>29</v>
      </c>
      <c r="D4" s="30" t="s">
        <v>29</v>
      </c>
      <c r="E4" s="30" t="s">
        <v>29</v>
      </c>
      <c r="F4" s="30" t="s">
        <v>29</v>
      </c>
      <c r="G4" s="30" t="s">
        <v>29</v>
      </c>
      <c r="H4" s="31" t="s">
        <v>29</v>
      </c>
      <c r="I4" s="32" t="s">
        <v>28</v>
      </c>
      <c r="K4" s="29" t="s">
        <v>29</v>
      </c>
      <c r="L4" s="30" t="s">
        <v>29</v>
      </c>
      <c r="M4" s="30" t="s">
        <v>29</v>
      </c>
      <c r="N4" s="32" t="s">
        <v>29</v>
      </c>
      <c r="O4" s="31" t="s">
        <v>29</v>
      </c>
      <c r="P4" s="32" t="s">
        <v>28</v>
      </c>
      <c r="S4" s="24"/>
    </row>
    <row r="5" spans="2:20" ht="13.5" customHeight="1" x14ac:dyDescent="0.3">
      <c r="B5" s="5" t="s">
        <v>1</v>
      </c>
      <c r="C5" s="45">
        <f>SUM(D5:H5)</f>
        <v>91467.731844000009</v>
      </c>
      <c r="D5" s="35">
        <v>88966.503360000002</v>
      </c>
      <c r="E5" s="35">
        <v>107.46428400000002</v>
      </c>
      <c r="F5" s="35"/>
      <c r="G5" s="35"/>
      <c r="H5" s="36">
        <v>2393.7642000000001</v>
      </c>
      <c r="I5" s="37">
        <v>10866</v>
      </c>
      <c r="K5" s="49">
        <f>SUM(L5:O5)</f>
        <v>56342.192373061509</v>
      </c>
      <c r="L5" s="74">
        <v>49222.06286070151</v>
      </c>
      <c r="M5" s="74">
        <v>4231.029512359999</v>
      </c>
      <c r="N5" s="75"/>
      <c r="O5" s="33">
        <v>2889.1</v>
      </c>
      <c r="P5" s="34">
        <v>27000</v>
      </c>
      <c r="Q5" s="24"/>
      <c r="R5" s="24"/>
      <c r="S5" s="24"/>
    </row>
    <row r="6" spans="2:20" ht="13.5" customHeight="1" x14ac:dyDescent="0.3">
      <c r="B6" s="7" t="s">
        <v>2</v>
      </c>
      <c r="C6" s="17">
        <f>SUM(D6:H6)</f>
        <v>197.258746</v>
      </c>
      <c r="D6" s="41">
        <v>145.14154600000001</v>
      </c>
      <c r="E6" s="41"/>
      <c r="F6" s="41"/>
      <c r="G6" s="41"/>
      <c r="H6" s="33">
        <v>52.117199999999997</v>
      </c>
      <c r="I6" s="34">
        <v>335</v>
      </c>
      <c r="K6" s="49">
        <f>SUM(L6:O6)</f>
        <v>143.10962066904</v>
      </c>
      <c r="L6" s="41">
        <v>91.209620669039992</v>
      </c>
      <c r="M6" s="41"/>
      <c r="N6" s="34"/>
      <c r="O6" s="33">
        <v>51.900000000000006</v>
      </c>
      <c r="P6" s="34">
        <v>300</v>
      </c>
      <c r="Q6" s="24"/>
      <c r="R6" s="24"/>
      <c r="S6" s="24"/>
    </row>
    <row r="7" spans="2:20" ht="13.5" customHeight="1" x14ac:dyDescent="0.3">
      <c r="B7" s="7" t="s">
        <v>3</v>
      </c>
      <c r="C7" s="17">
        <f t="shared" ref="C7:C8" si="0">SUM(D7:H7)</f>
        <v>2473.3031000000001</v>
      </c>
      <c r="D7" s="41">
        <v>385.6019</v>
      </c>
      <c r="E7" s="41"/>
      <c r="F7" s="41"/>
      <c r="G7" s="41"/>
      <c r="H7" s="33">
        <v>2087.7012</v>
      </c>
      <c r="I7" s="34">
        <v>10179</v>
      </c>
      <c r="K7" s="49">
        <f>SUM(L7:O7)</f>
        <v>1777.7032068896801</v>
      </c>
      <c r="L7" s="41">
        <v>30.403206889679996</v>
      </c>
      <c r="M7" s="41"/>
      <c r="N7" s="34"/>
      <c r="O7" s="33">
        <v>1747.3000000000002</v>
      </c>
      <c r="P7" s="34">
        <v>10000</v>
      </c>
      <c r="Q7" s="24"/>
      <c r="R7" s="24"/>
      <c r="S7" s="24"/>
    </row>
    <row r="8" spans="2:20" ht="13.5" customHeight="1" x14ac:dyDescent="0.3">
      <c r="B8" s="7" t="s">
        <v>4</v>
      </c>
      <c r="C8" s="17">
        <f t="shared" si="0"/>
        <v>-485.00867000000005</v>
      </c>
      <c r="D8" s="41">
        <v>-516.14507000000003</v>
      </c>
      <c r="E8" s="41"/>
      <c r="F8" s="41"/>
      <c r="G8" s="41"/>
      <c r="H8" s="33">
        <v>31.136399999999998</v>
      </c>
      <c r="I8" s="34">
        <v>-152</v>
      </c>
      <c r="K8" s="49"/>
      <c r="L8" s="21"/>
      <c r="M8" s="21"/>
      <c r="N8" s="16"/>
      <c r="O8" s="15"/>
      <c r="P8" s="16"/>
      <c r="Q8" s="24"/>
      <c r="R8" s="24"/>
      <c r="S8" s="24"/>
    </row>
    <row r="9" spans="2:20" ht="13.5" customHeight="1" x14ac:dyDescent="0.3">
      <c r="B9" s="7" t="s">
        <v>5</v>
      </c>
      <c r="C9" s="17"/>
      <c r="D9" s="41"/>
      <c r="E9" s="41"/>
      <c r="F9" s="41"/>
      <c r="G9" s="41"/>
      <c r="H9" s="33"/>
      <c r="I9" s="34"/>
      <c r="K9" s="49"/>
      <c r="L9" s="21"/>
      <c r="M9" s="21"/>
      <c r="N9" s="16"/>
      <c r="O9" s="15"/>
      <c r="P9" s="16"/>
      <c r="Q9" s="24"/>
      <c r="R9" s="24"/>
      <c r="S9" s="24"/>
    </row>
    <row r="10" spans="2:20" ht="13.5" customHeight="1" thickBot="1" x14ac:dyDescent="0.35">
      <c r="B10" s="46" t="s">
        <v>6</v>
      </c>
      <c r="C10" s="47">
        <f>SUM(D10:H10)</f>
        <v>90711.126420000015</v>
      </c>
      <c r="D10" s="61">
        <f>D5+D6-D7+D8</f>
        <v>88209.897936000008</v>
      </c>
      <c r="E10" s="61">
        <f>E5+E6-E7+E8</f>
        <v>107.46428400000002</v>
      </c>
      <c r="F10" s="61"/>
      <c r="G10" s="61"/>
      <c r="H10" s="66">
        <f>H5</f>
        <v>2393.7642000000001</v>
      </c>
      <c r="I10" s="62">
        <v>870</v>
      </c>
      <c r="K10" s="51">
        <f>SUM(L10:O10)</f>
        <v>54707.59878684087</v>
      </c>
      <c r="L10" s="53">
        <v>49282.869274480872</v>
      </c>
      <c r="M10" s="53">
        <v>4231.029512359999</v>
      </c>
      <c r="N10" s="54"/>
      <c r="O10" s="52">
        <v>1193.6999999999998</v>
      </c>
      <c r="P10" s="54">
        <v>17300</v>
      </c>
      <c r="Q10" s="24"/>
      <c r="R10" s="24"/>
      <c r="S10" s="24" t="s">
        <v>35</v>
      </c>
      <c r="T10" s="2" t="s">
        <v>35</v>
      </c>
    </row>
    <row r="11" spans="2:20" ht="13.5" customHeight="1" thickBot="1" x14ac:dyDescent="0.35">
      <c r="B11" s="8" t="s">
        <v>7</v>
      </c>
      <c r="C11" s="19"/>
      <c r="D11" s="38"/>
      <c r="E11" s="38"/>
      <c r="F11" s="38"/>
      <c r="G11" s="38"/>
      <c r="H11" s="39"/>
      <c r="I11" s="40"/>
      <c r="K11" s="55">
        <f>SUM(L11:O11)</f>
        <v>-51.900000000000091</v>
      </c>
      <c r="L11" s="67"/>
      <c r="M11" s="67"/>
      <c r="N11" s="68"/>
      <c r="O11" s="43">
        <v>-51.900000000000091</v>
      </c>
      <c r="P11" s="44">
        <v>1300</v>
      </c>
      <c r="Q11" s="24"/>
      <c r="R11" s="24"/>
      <c r="S11" s="24"/>
    </row>
    <row r="12" spans="2:20" ht="13.5" customHeight="1" x14ac:dyDescent="0.3">
      <c r="B12" s="7" t="s">
        <v>8</v>
      </c>
      <c r="C12" s="45"/>
      <c r="E12" s="24" t="s">
        <v>35</v>
      </c>
      <c r="H12" s="33" t="s">
        <v>35</v>
      </c>
      <c r="I12" s="34" t="s">
        <v>35</v>
      </c>
      <c r="K12" s="49">
        <f>SUM(L12:O12)</f>
        <v>103.00721550178</v>
      </c>
      <c r="L12" s="41">
        <v>68.407215501780001</v>
      </c>
      <c r="M12" s="41"/>
      <c r="N12" s="34"/>
      <c r="O12" s="33">
        <v>34.6</v>
      </c>
      <c r="P12" s="34"/>
      <c r="Q12" s="24"/>
      <c r="R12" s="24"/>
      <c r="S12" s="24" t="s">
        <v>35</v>
      </c>
      <c r="T12" s="2" t="s">
        <v>35</v>
      </c>
    </row>
    <row r="13" spans="2:20" ht="13.5" customHeight="1" x14ac:dyDescent="0.3">
      <c r="B13" s="7" t="s">
        <v>9</v>
      </c>
      <c r="C13" s="17">
        <f>SUM(D13:H13)</f>
        <v>0</v>
      </c>
      <c r="H13" s="33"/>
      <c r="I13" s="34"/>
      <c r="K13" s="18"/>
      <c r="L13" s="21"/>
      <c r="M13" s="21"/>
      <c r="N13" s="16"/>
      <c r="O13" s="15"/>
      <c r="P13" s="16"/>
      <c r="Q13" s="24"/>
      <c r="R13" s="24"/>
      <c r="S13" s="24"/>
    </row>
    <row r="14" spans="2:20" ht="13.5" customHeight="1" x14ac:dyDescent="0.3">
      <c r="B14" s="7" t="s">
        <v>10</v>
      </c>
      <c r="C14" s="17">
        <f t="shared" ref="C14:C15" si="1">SUM(D14:H14)</f>
        <v>113.838356</v>
      </c>
      <c r="D14" s="24">
        <v>66.947755999999998</v>
      </c>
      <c r="H14" s="33">
        <v>46.890599999999999</v>
      </c>
      <c r="I14" s="34"/>
      <c r="K14" s="18"/>
      <c r="L14" s="21"/>
      <c r="M14" s="21"/>
      <c r="N14" s="16"/>
      <c r="O14" s="15"/>
      <c r="P14" s="16"/>
      <c r="Q14" s="24"/>
      <c r="R14" s="24"/>
      <c r="S14" s="24"/>
    </row>
    <row r="15" spans="2:20" ht="13.5" customHeight="1" x14ac:dyDescent="0.3">
      <c r="B15" s="7" t="s">
        <v>11</v>
      </c>
      <c r="C15" s="17">
        <f t="shared" si="1"/>
        <v>412.29621000000003</v>
      </c>
      <c r="D15" s="24">
        <v>304.83192600000001</v>
      </c>
      <c r="E15" s="24">
        <v>107.46428400000001</v>
      </c>
      <c r="H15" s="33"/>
      <c r="I15" s="34"/>
      <c r="K15" s="18"/>
      <c r="L15" s="21"/>
      <c r="M15" s="21"/>
      <c r="N15" s="16"/>
      <c r="O15" s="15"/>
      <c r="P15" s="16"/>
      <c r="Q15" s="24"/>
      <c r="R15" s="24"/>
      <c r="S15" s="24"/>
    </row>
    <row r="16" spans="2:20" ht="13.5" customHeight="1" x14ac:dyDescent="0.3">
      <c r="B16" s="7" t="s">
        <v>34</v>
      </c>
      <c r="C16" s="17"/>
      <c r="H16" s="33"/>
      <c r="I16" s="34"/>
      <c r="K16" s="18"/>
      <c r="L16" s="21"/>
      <c r="M16" s="21"/>
      <c r="N16" s="16"/>
      <c r="O16" s="15"/>
      <c r="P16" s="16"/>
      <c r="Q16" s="24"/>
      <c r="R16" s="24"/>
      <c r="S16" s="24"/>
    </row>
    <row r="17" spans="2:20" ht="13.5" customHeight="1" x14ac:dyDescent="0.3">
      <c r="B17" s="7" t="s">
        <v>12</v>
      </c>
      <c r="C17" s="17"/>
      <c r="H17" s="33"/>
      <c r="I17" s="34"/>
      <c r="K17" s="18"/>
      <c r="L17" s="21"/>
      <c r="M17" s="21"/>
      <c r="N17" s="16"/>
      <c r="O17" s="15"/>
      <c r="P17" s="16"/>
      <c r="Q17" s="24"/>
      <c r="S17" s="24"/>
    </row>
    <row r="18" spans="2:20" ht="13.5" customHeight="1" x14ac:dyDescent="0.3">
      <c r="B18" s="7" t="s">
        <v>13</v>
      </c>
      <c r="C18" s="17"/>
      <c r="H18" s="33"/>
      <c r="I18" s="34"/>
      <c r="K18" s="18"/>
      <c r="L18" s="21"/>
      <c r="M18" s="21"/>
      <c r="N18" s="16"/>
      <c r="O18" s="15"/>
      <c r="P18" s="16"/>
      <c r="Q18" s="24"/>
      <c r="R18" s="24"/>
      <c r="S18" s="24"/>
    </row>
    <row r="19" spans="2:20" ht="13.5" customHeight="1" thickBot="1" x14ac:dyDescent="0.35">
      <c r="B19" s="7" t="s">
        <v>14</v>
      </c>
      <c r="C19" s="17">
        <f t="shared" ref="C19" si="2">SUM(D19:H19)</f>
        <v>23.571221999999999</v>
      </c>
      <c r="D19" s="24">
        <v>16.893822</v>
      </c>
      <c r="H19" s="33">
        <v>6.6773999999999996</v>
      </c>
      <c r="I19" s="34">
        <v>106</v>
      </c>
      <c r="K19" s="18"/>
      <c r="L19" s="21"/>
      <c r="M19" s="21"/>
      <c r="N19" s="16"/>
      <c r="O19" s="15"/>
      <c r="P19" s="16"/>
      <c r="Q19" s="24"/>
      <c r="R19" s="24"/>
      <c r="S19" s="24"/>
    </row>
    <row r="20" spans="2:20" ht="13.5" customHeight="1" x14ac:dyDescent="0.3">
      <c r="B20" s="9" t="s">
        <v>15</v>
      </c>
      <c r="C20" s="20">
        <f>SUM(D20:H20)</f>
        <v>45839.615702000003</v>
      </c>
      <c r="D20" s="58">
        <f>SUM(D21:D26)</f>
        <v>45757.701302000001</v>
      </c>
      <c r="E20" s="58"/>
      <c r="F20" s="58"/>
      <c r="G20" s="58"/>
      <c r="H20" s="57">
        <f>H25</f>
        <v>81.914400000000001</v>
      </c>
      <c r="I20" s="59">
        <v>764</v>
      </c>
      <c r="K20" s="56">
        <f>SUM(L20:O20)</f>
        <v>54656.491571339095</v>
      </c>
      <c r="L20" s="58">
        <f>SUM(L21:L26)</f>
        <v>49214.462058979094</v>
      </c>
      <c r="M20" s="58">
        <f>SUM(M21:M26)</f>
        <v>4231.029512359999</v>
      </c>
      <c r="N20" s="58"/>
      <c r="O20" s="57">
        <f t="shared" ref="O20:P20" si="3">SUM(O21:O26)</f>
        <v>1211</v>
      </c>
      <c r="P20" s="59">
        <f t="shared" si="3"/>
        <v>16000</v>
      </c>
      <c r="Q20" s="24"/>
    </row>
    <row r="21" spans="2:20" ht="13.5" customHeight="1" x14ac:dyDescent="0.3">
      <c r="B21" s="7" t="s">
        <v>16</v>
      </c>
      <c r="C21" s="17">
        <f t="shared" ref="C21:C26" si="4">SUM(D21:H21)</f>
        <v>8283.3958619999994</v>
      </c>
      <c r="D21" s="41">
        <v>8078.3680619999996</v>
      </c>
      <c r="E21" s="41" t="s">
        <v>35</v>
      </c>
      <c r="F21" s="41"/>
      <c r="G21" s="41"/>
      <c r="H21" s="33">
        <v>205.02780000000001</v>
      </c>
      <c r="I21" s="34">
        <v>629</v>
      </c>
      <c r="K21" s="49">
        <f>SUM(L21:O21)</f>
        <v>5902.78862999802</v>
      </c>
      <c r="L21" s="41">
        <v>2159.5208289380203</v>
      </c>
      <c r="M21" s="41">
        <v>3743.2678010599993</v>
      </c>
      <c r="N21" s="41"/>
      <c r="O21" s="33"/>
      <c r="P21" s="34"/>
      <c r="S21" s="2" t="s">
        <v>35</v>
      </c>
      <c r="T21" s="2" t="s">
        <v>35</v>
      </c>
    </row>
    <row r="22" spans="2:20" ht="13.5" customHeight="1" x14ac:dyDescent="0.3">
      <c r="B22" s="7" t="s">
        <v>17</v>
      </c>
      <c r="C22" s="17"/>
      <c r="D22" s="41"/>
      <c r="E22" s="41"/>
      <c r="F22" s="41"/>
      <c r="G22" s="41"/>
      <c r="H22" s="33"/>
      <c r="I22" s="34"/>
      <c r="K22" s="18"/>
      <c r="L22" s="21"/>
      <c r="M22" s="21"/>
      <c r="N22" s="21"/>
      <c r="O22" s="15"/>
      <c r="P22" s="16"/>
    </row>
    <row r="23" spans="2:20" ht="13.5" customHeight="1" x14ac:dyDescent="0.3">
      <c r="B23" s="7" t="s">
        <v>18</v>
      </c>
      <c r="C23" s="17"/>
      <c r="D23" s="41"/>
      <c r="E23" s="41"/>
      <c r="F23" s="41"/>
      <c r="G23" s="41"/>
      <c r="H23" s="33"/>
      <c r="I23" s="34"/>
      <c r="K23" s="18"/>
      <c r="L23" s="21"/>
      <c r="M23" s="21"/>
      <c r="N23" s="21"/>
      <c r="O23" s="15"/>
      <c r="P23" s="16"/>
    </row>
    <row r="24" spans="2:20" ht="13.5" customHeight="1" x14ac:dyDescent="0.3">
      <c r="B24" s="7" t="s">
        <v>19</v>
      </c>
      <c r="C24" s="17"/>
      <c r="D24" s="41"/>
      <c r="E24" s="41"/>
      <c r="F24" s="41"/>
      <c r="G24" s="41"/>
      <c r="H24" s="33"/>
      <c r="I24" s="34"/>
      <c r="K24" s="49">
        <f t="shared" ref="K24:K26" si="5">SUM(L24:O24)</f>
        <v>1880.11798426464</v>
      </c>
      <c r="L24" s="41">
        <v>1568.7179842646399</v>
      </c>
      <c r="M24" s="41"/>
      <c r="N24" s="41"/>
      <c r="O24" s="33">
        <v>311.40000000000003</v>
      </c>
      <c r="P24" s="34">
        <v>9000</v>
      </c>
      <c r="Q24" s="24"/>
      <c r="R24" s="24"/>
    </row>
    <row r="25" spans="2:20" ht="13.5" customHeight="1" x14ac:dyDescent="0.3">
      <c r="B25" s="7" t="s">
        <v>20</v>
      </c>
      <c r="C25" s="17">
        <f t="shared" si="4"/>
        <v>36452.876448000003</v>
      </c>
      <c r="D25" s="41">
        <v>36370.962048000001</v>
      </c>
      <c r="E25" s="41"/>
      <c r="F25" s="41"/>
      <c r="G25" s="41"/>
      <c r="H25" s="33">
        <v>81.914400000000001</v>
      </c>
      <c r="I25" s="34">
        <v>36</v>
      </c>
      <c r="K25" s="49">
        <f t="shared" si="5"/>
        <v>45797.748030473929</v>
      </c>
      <c r="L25" s="41">
        <v>44517.895688213932</v>
      </c>
      <c r="M25" s="41">
        <v>414.85234226</v>
      </c>
      <c r="N25" s="41"/>
      <c r="O25" s="33">
        <v>865</v>
      </c>
      <c r="P25" s="34">
        <v>7000</v>
      </c>
    </row>
    <row r="26" spans="2:20" ht="13.5" customHeight="1" thickBot="1" x14ac:dyDescent="0.35">
      <c r="B26" s="8" t="s">
        <v>21</v>
      </c>
      <c r="C26" s="17">
        <f t="shared" si="4"/>
        <v>1357.177592</v>
      </c>
      <c r="D26" s="38">
        <v>1308.3711920000001</v>
      </c>
      <c r="E26" s="38"/>
      <c r="F26" s="38"/>
      <c r="G26" s="38"/>
      <c r="H26" s="39">
        <v>48.806399999999996</v>
      </c>
      <c r="I26" s="40">
        <v>99</v>
      </c>
      <c r="K26" s="50">
        <f t="shared" si="5"/>
        <v>1075.8369266024997</v>
      </c>
      <c r="L26" s="38">
        <v>968.32755756249981</v>
      </c>
      <c r="M26" s="38">
        <v>72.909369039999987</v>
      </c>
      <c r="N26" s="38"/>
      <c r="O26" s="39">
        <v>34.6</v>
      </c>
      <c r="P26" s="40"/>
    </row>
    <row r="27" spans="2:20" ht="13.5" customHeight="1" thickBot="1" x14ac:dyDescent="0.35">
      <c r="B27" s="10" t="s">
        <v>22</v>
      </c>
      <c r="C27" s="22"/>
      <c r="D27" s="42">
        <v>16514</v>
      </c>
      <c r="E27" s="42">
        <v>8003</v>
      </c>
      <c r="F27" s="42"/>
      <c r="G27" s="42"/>
      <c r="H27" s="43">
        <v>18600</v>
      </c>
      <c r="I27" s="44">
        <v>30014</v>
      </c>
      <c r="L27" s="43">
        <v>14581.873807999998</v>
      </c>
      <c r="M27" s="42">
        <v>14581.873807999998</v>
      </c>
      <c r="N27" s="42">
        <v>12460</v>
      </c>
      <c r="O27" s="43">
        <v>17300</v>
      </c>
      <c r="P27" s="44">
        <v>30000</v>
      </c>
    </row>
    <row r="28" spans="2:20" ht="15" customHeight="1" x14ac:dyDescent="0.3"/>
    <row r="30" spans="2:20" x14ac:dyDescent="0.3">
      <c r="B30" s="11"/>
      <c r="C30" s="13"/>
    </row>
    <row r="33" spans="2:3" x14ac:dyDescent="0.3">
      <c r="B33" s="12"/>
    </row>
    <row r="34" spans="2:3" x14ac:dyDescent="0.3">
      <c r="B34" s="12"/>
    </row>
    <row r="35" spans="2:3" x14ac:dyDescent="0.3">
      <c r="B35" s="12"/>
    </row>
    <row r="36" spans="2:3" x14ac:dyDescent="0.3">
      <c r="B36" s="13"/>
      <c r="C36" s="13"/>
    </row>
    <row r="37" spans="2:3" x14ac:dyDescent="0.3">
      <c r="B37" s="12"/>
    </row>
    <row r="38" spans="2:3" x14ac:dyDescent="0.3">
      <c r="B38" s="6"/>
      <c r="C38" s="6"/>
    </row>
    <row r="39" spans="2:3" x14ac:dyDescent="0.3">
      <c r="B39" s="6"/>
      <c r="C39" s="6"/>
    </row>
    <row r="40" spans="2:3" x14ac:dyDescent="0.3">
      <c r="B40" s="6"/>
      <c r="C40" s="6"/>
    </row>
    <row r="41" spans="2:3" x14ac:dyDescent="0.3">
      <c r="B41" s="6"/>
      <c r="C41" s="6"/>
    </row>
    <row r="42" spans="2:3" x14ac:dyDescent="0.3">
      <c r="B42" s="6"/>
      <c r="C42" s="6"/>
    </row>
    <row r="43" spans="2:3" x14ac:dyDescent="0.3">
      <c r="B43" s="12"/>
    </row>
    <row r="44" spans="2:3" x14ac:dyDescent="0.3">
      <c r="B44" s="12"/>
    </row>
    <row r="45" spans="2:3" x14ac:dyDescent="0.3">
      <c r="B45" s="12"/>
    </row>
    <row r="46" spans="2:3" x14ac:dyDescent="0.3">
      <c r="B46" s="13"/>
      <c r="C46" s="13"/>
    </row>
    <row r="47" spans="2:3" x14ac:dyDescent="0.3">
      <c r="B47" s="14"/>
      <c r="C47" s="14"/>
    </row>
    <row r="48" spans="2:3" x14ac:dyDescent="0.3">
      <c r="B48" s="14"/>
      <c r="C48" s="14"/>
    </row>
    <row r="49" spans="2:3" x14ac:dyDescent="0.3">
      <c r="B49" s="14"/>
      <c r="C49" s="14"/>
    </row>
    <row r="50" spans="2:3" x14ac:dyDescent="0.3">
      <c r="B50" s="14"/>
      <c r="C50" s="14"/>
    </row>
    <row r="51" spans="2:3" x14ac:dyDescent="0.3">
      <c r="B51" s="14"/>
      <c r="C51" s="14"/>
    </row>
    <row r="52" spans="2:3" x14ac:dyDescent="0.3">
      <c r="B52" s="14"/>
      <c r="C52" s="14"/>
    </row>
    <row r="53" spans="2:3" x14ac:dyDescent="0.3">
      <c r="B53" s="14"/>
      <c r="C53" s="14"/>
    </row>
    <row r="54" spans="2:3" x14ac:dyDescent="0.3">
      <c r="B54" s="12"/>
    </row>
  </sheetData>
  <mergeCells count="2">
    <mergeCell ref="C2:I2"/>
    <mergeCell ref="K2:P2"/>
  </mergeCells>
  <printOptions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4"/>
  <sheetViews>
    <sheetView tabSelected="1" zoomScale="70" zoomScaleNormal="70" workbookViewId="0">
      <selection activeCell="C11" sqref="C11"/>
    </sheetView>
  </sheetViews>
  <sheetFormatPr defaultRowHeight="13" x14ac:dyDescent="0.3"/>
  <cols>
    <col min="1" max="1" width="3.26953125" style="2" customWidth="1"/>
    <col min="2" max="2" width="22.26953125" style="1" customWidth="1"/>
    <col min="3" max="3" width="7.81640625" style="12" customWidth="1"/>
    <col min="4" max="5" width="8.81640625" style="24" customWidth="1"/>
    <col min="6" max="6" width="6.81640625" style="24" customWidth="1"/>
    <col min="7" max="9" width="7.81640625" style="24" customWidth="1"/>
    <col min="10" max="10" width="2.453125" style="2" customWidth="1"/>
    <col min="11" max="16384" width="8.7265625" style="2"/>
  </cols>
  <sheetData>
    <row r="1" spans="2:23" ht="13.5" customHeight="1" thickBot="1" x14ac:dyDescent="0.35">
      <c r="B1" s="23" t="s">
        <v>55</v>
      </c>
    </row>
    <row r="2" spans="2:23" ht="13.5" customHeight="1" thickBot="1" x14ac:dyDescent="0.35">
      <c r="C2" s="208" t="s">
        <v>45</v>
      </c>
      <c r="D2" s="209"/>
      <c r="E2" s="209"/>
      <c r="F2" s="209"/>
      <c r="G2" s="209"/>
      <c r="H2" s="209"/>
      <c r="I2" s="210"/>
      <c r="K2" s="211" t="s">
        <v>76</v>
      </c>
      <c r="L2" s="212"/>
      <c r="M2" s="212"/>
      <c r="N2" s="212"/>
      <c r="O2" s="212"/>
      <c r="P2" s="213"/>
    </row>
    <row r="3" spans="2:23" ht="39.5" customHeight="1" x14ac:dyDescent="0.3">
      <c r="B3" s="3" t="s">
        <v>0</v>
      </c>
      <c r="C3" s="25" t="s">
        <v>30</v>
      </c>
      <c r="D3" s="26" t="s">
        <v>23</v>
      </c>
      <c r="E3" s="26" t="s">
        <v>24</v>
      </c>
      <c r="F3" s="26" t="s">
        <v>25</v>
      </c>
      <c r="G3" s="26" t="s">
        <v>31</v>
      </c>
      <c r="H3" s="27" t="s">
        <v>33</v>
      </c>
      <c r="I3" s="28" t="s">
        <v>27</v>
      </c>
      <c r="K3" s="25" t="s">
        <v>41</v>
      </c>
      <c r="L3" s="26" t="s">
        <v>23</v>
      </c>
      <c r="M3" s="26" t="s">
        <v>24</v>
      </c>
      <c r="N3" s="28" t="s">
        <v>25</v>
      </c>
      <c r="O3" s="27" t="s">
        <v>33</v>
      </c>
      <c r="P3" s="28" t="s">
        <v>27</v>
      </c>
    </row>
    <row r="4" spans="2:23" ht="13.5" customHeight="1" thickBot="1" x14ac:dyDescent="0.35">
      <c r="B4" s="4">
        <v>2013</v>
      </c>
      <c r="C4" s="29" t="s">
        <v>29</v>
      </c>
      <c r="D4" s="30" t="s">
        <v>29</v>
      </c>
      <c r="E4" s="30" t="s">
        <v>29</v>
      </c>
      <c r="F4" s="30" t="s">
        <v>29</v>
      </c>
      <c r="G4" s="30" t="s">
        <v>29</v>
      </c>
      <c r="H4" s="31" t="s">
        <v>29</v>
      </c>
      <c r="I4" s="32" t="s">
        <v>28</v>
      </c>
      <c r="K4" s="29" t="s">
        <v>29</v>
      </c>
      <c r="L4" s="30" t="s">
        <v>29</v>
      </c>
      <c r="M4" s="30" t="s">
        <v>29</v>
      </c>
      <c r="N4" s="32" t="s">
        <v>29</v>
      </c>
      <c r="O4" s="72" t="s">
        <v>29</v>
      </c>
      <c r="P4" s="73" t="s">
        <v>28</v>
      </c>
      <c r="U4" s="2" t="s">
        <v>80</v>
      </c>
      <c r="V4" s="2" t="s">
        <v>81</v>
      </c>
      <c r="W4" s="2" t="s">
        <v>82</v>
      </c>
    </row>
    <row r="5" spans="2:23" ht="13.5" customHeight="1" x14ac:dyDescent="0.3">
      <c r="B5" s="5" t="s">
        <v>1</v>
      </c>
      <c r="C5" s="45">
        <v>32180</v>
      </c>
      <c r="D5" s="35">
        <v>88966.503360000002</v>
      </c>
      <c r="E5" s="35"/>
      <c r="F5" s="35"/>
      <c r="G5" s="35"/>
      <c r="H5" s="36"/>
      <c r="I5" s="37"/>
      <c r="K5" s="49">
        <f>SUM(L5:O5)</f>
        <v>9378.8585999999996</v>
      </c>
      <c r="L5" s="36">
        <f>V7*L$27/1000000*0.75</f>
        <v>7822.2186000000002</v>
      </c>
      <c r="M5" s="74"/>
      <c r="N5" s="74"/>
      <c r="O5" s="36">
        <f>W7*O$27/1000000</f>
        <v>1556.64</v>
      </c>
      <c r="P5" s="37">
        <f>U7</f>
        <v>4000</v>
      </c>
      <c r="T5" s="2" t="s">
        <v>79</v>
      </c>
      <c r="U5" s="24">
        <v>1055</v>
      </c>
      <c r="V5" s="24">
        <v>459650</v>
      </c>
      <c r="W5" s="24">
        <v>52085</v>
      </c>
    </row>
    <row r="6" spans="2:23" ht="13.5" customHeight="1" x14ac:dyDescent="0.3">
      <c r="B6" s="7" t="s">
        <v>2</v>
      </c>
      <c r="C6" s="17">
        <v>28</v>
      </c>
      <c r="D6" s="41">
        <v>28</v>
      </c>
      <c r="E6" s="41"/>
      <c r="F6" s="41"/>
      <c r="G6" s="41"/>
      <c r="H6" s="33"/>
      <c r="I6" s="34">
        <v>844.15584415584419</v>
      </c>
      <c r="K6" s="49">
        <f>SUM(L6:O6)</f>
        <v>1560.3272999999999</v>
      </c>
      <c r="L6" s="33">
        <f>V6*L$27/1000000*0.75</f>
        <v>1427.0823</v>
      </c>
      <c r="M6" s="41"/>
      <c r="N6" s="41"/>
      <c r="O6" s="33">
        <f>W6*O$27/1000000</f>
        <v>133.245</v>
      </c>
      <c r="P6" s="34">
        <f>U6</f>
        <v>1491</v>
      </c>
      <c r="T6" s="2" t="s">
        <v>78</v>
      </c>
      <c r="U6" s="24">
        <v>1491</v>
      </c>
      <c r="V6" s="24">
        <v>125845</v>
      </c>
      <c r="W6" s="24">
        <v>7875</v>
      </c>
    </row>
    <row r="7" spans="2:23" ht="13.5" customHeight="1" x14ac:dyDescent="0.3">
      <c r="B7" s="7" t="s">
        <v>3</v>
      </c>
      <c r="C7" s="17">
        <v>453</v>
      </c>
      <c r="D7" s="41">
        <v>453</v>
      </c>
      <c r="E7" s="41"/>
      <c r="F7" s="41"/>
      <c r="G7" s="41"/>
      <c r="H7" s="33"/>
      <c r="I7" s="34"/>
      <c r="K7" s="49">
        <f>SUM(L7:O7)</f>
        <v>6093.7092000000002</v>
      </c>
      <c r="L7" s="33">
        <f>V5*L$27/1000000*0.75</f>
        <v>5212.4310000000005</v>
      </c>
      <c r="M7" s="41"/>
      <c r="N7" s="41"/>
      <c r="O7" s="33">
        <f>W5*O$27/1000000</f>
        <v>881.27819999999997</v>
      </c>
      <c r="P7" s="34">
        <f>U5</f>
        <v>1055</v>
      </c>
      <c r="T7" s="2" t="s">
        <v>77</v>
      </c>
      <c r="U7" s="2">
        <v>4000</v>
      </c>
      <c r="V7" s="24">
        <v>689790</v>
      </c>
      <c r="W7" s="24">
        <v>92000</v>
      </c>
    </row>
    <row r="8" spans="2:23" ht="13.5" customHeight="1" x14ac:dyDescent="0.3">
      <c r="B8" s="7" t="s">
        <v>4</v>
      </c>
      <c r="C8" s="17">
        <v>22</v>
      </c>
      <c r="D8" s="41">
        <v>22</v>
      </c>
      <c r="E8" s="41"/>
      <c r="F8" s="41"/>
      <c r="G8" s="41"/>
      <c r="H8" s="33"/>
      <c r="I8" s="34"/>
      <c r="K8" s="49"/>
      <c r="L8" s="21"/>
      <c r="M8" s="21"/>
      <c r="N8" s="21"/>
      <c r="O8" s="15"/>
      <c r="P8" s="16"/>
    </row>
    <row r="9" spans="2:23" ht="13.5" customHeight="1" x14ac:dyDescent="0.3">
      <c r="B9" s="7" t="s">
        <v>5</v>
      </c>
      <c r="C9" s="17"/>
      <c r="D9" s="41"/>
      <c r="E9" s="41"/>
      <c r="F9" s="41"/>
      <c r="G9" s="41"/>
      <c r="H9" s="33"/>
      <c r="I9" s="34"/>
      <c r="K9" s="49"/>
      <c r="L9" s="21"/>
      <c r="M9" s="21"/>
      <c r="N9" s="21"/>
      <c r="O9" s="15"/>
      <c r="P9" s="16"/>
    </row>
    <row r="10" spans="2:23" ht="13.5" customHeight="1" thickBot="1" x14ac:dyDescent="0.35">
      <c r="B10" s="46" t="s">
        <v>6</v>
      </c>
      <c r="C10" s="47">
        <f>SUM(D10:H10)</f>
        <v>88563.503360000002</v>
      </c>
      <c r="D10" s="61">
        <f>D5+D6-D7+D8</f>
        <v>88563.503360000002</v>
      </c>
      <c r="E10" s="61"/>
      <c r="F10" s="38"/>
      <c r="G10" s="38"/>
      <c r="H10" s="39">
        <f>H5</f>
        <v>0</v>
      </c>
      <c r="I10" s="62">
        <v>844.15584415584419</v>
      </c>
      <c r="K10" s="51">
        <f>SUM(L10:O10)</f>
        <v>4845.4767000000002</v>
      </c>
      <c r="L10" s="66">
        <f>L5+L6-L7</f>
        <v>4036.8698999999997</v>
      </c>
      <c r="M10" s="53"/>
      <c r="N10" s="53"/>
      <c r="O10" s="66">
        <f>O5+O6-O7</f>
        <v>808.60680000000025</v>
      </c>
      <c r="P10" s="62">
        <f>P5+P6-P7</f>
        <v>4436</v>
      </c>
    </row>
    <row r="11" spans="2:23" ht="13.5" customHeight="1" thickBot="1" x14ac:dyDescent="0.35">
      <c r="B11" s="8" t="s">
        <v>7</v>
      </c>
      <c r="C11" s="19"/>
      <c r="D11" s="38"/>
      <c r="E11" s="38"/>
      <c r="F11" s="38"/>
      <c r="G11" s="38"/>
      <c r="H11" s="39"/>
      <c r="I11" s="40"/>
      <c r="K11" s="55">
        <f>SUM(L11:O11)</f>
        <v>0</v>
      </c>
      <c r="L11" s="67"/>
      <c r="M11" s="67"/>
      <c r="N11" s="68"/>
      <c r="O11" s="39"/>
      <c r="P11" s="40"/>
    </row>
    <row r="12" spans="2:23" ht="13.5" customHeight="1" x14ac:dyDescent="0.3">
      <c r="B12" s="7" t="s">
        <v>8</v>
      </c>
      <c r="C12" s="17">
        <v>205</v>
      </c>
      <c r="D12" s="24">
        <v>205</v>
      </c>
      <c r="H12" s="33"/>
      <c r="I12" s="34" t="s">
        <v>35</v>
      </c>
      <c r="K12" s="49"/>
      <c r="L12" s="41"/>
      <c r="M12" s="41"/>
      <c r="N12" s="34"/>
      <c r="O12" s="33"/>
      <c r="P12" s="34"/>
    </row>
    <row r="13" spans="2:23" ht="13.5" customHeight="1" x14ac:dyDescent="0.3">
      <c r="B13" s="7" t="s">
        <v>9</v>
      </c>
      <c r="C13" s="17">
        <f>SUM(D13:H13)</f>
        <v>16394.000000000004</v>
      </c>
      <c r="D13" s="24">
        <v>16394.000000000004</v>
      </c>
      <c r="H13" s="33"/>
      <c r="I13" s="34"/>
      <c r="K13" s="18"/>
      <c r="L13" s="21"/>
      <c r="M13" s="21"/>
      <c r="N13" s="16"/>
      <c r="O13" s="15"/>
      <c r="P13" s="16"/>
      <c r="U13" s="24"/>
      <c r="V13" s="24"/>
      <c r="W13" s="24"/>
    </row>
    <row r="14" spans="2:23" ht="13.5" customHeight="1" x14ac:dyDescent="0.3">
      <c r="B14" s="7" t="s">
        <v>10</v>
      </c>
      <c r="C14" s="17">
        <v>2946</v>
      </c>
      <c r="D14" s="24">
        <v>2946</v>
      </c>
      <c r="H14" s="33"/>
      <c r="I14" s="34"/>
      <c r="K14" s="18"/>
      <c r="L14" s="21"/>
      <c r="M14" s="21"/>
      <c r="N14" s="16"/>
      <c r="O14" s="15"/>
      <c r="P14" s="16"/>
      <c r="U14" s="24"/>
      <c r="V14" s="24"/>
      <c r="W14" s="24"/>
    </row>
    <row r="15" spans="2:23" ht="13.5" customHeight="1" x14ac:dyDescent="0.3">
      <c r="B15" s="7" t="s">
        <v>11</v>
      </c>
      <c r="C15" s="17"/>
      <c r="H15" s="33"/>
      <c r="I15" s="34"/>
      <c r="K15" s="18"/>
      <c r="L15" s="21"/>
      <c r="M15" s="21"/>
      <c r="N15" s="16"/>
      <c r="O15" s="15"/>
      <c r="P15" s="16"/>
      <c r="U15" s="24"/>
      <c r="V15" s="24"/>
      <c r="W15" s="24"/>
    </row>
    <row r="16" spans="2:23" ht="13.5" customHeight="1" x14ac:dyDescent="0.3">
      <c r="B16" s="7" t="s">
        <v>34</v>
      </c>
      <c r="C16" s="17"/>
      <c r="H16" s="33"/>
      <c r="I16" s="34"/>
      <c r="K16" s="18"/>
      <c r="L16" s="21"/>
      <c r="M16" s="21"/>
      <c r="N16" s="16"/>
      <c r="O16" s="15"/>
      <c r="P16" s="16"/>
      <c r="U16" s="24"/>
      <c r="V16" s="24"/>
      <c r="W16" s="24"/>
    </row>
    <row r="17" spans="2:23" ht="13.5" customHeight="1" x14ac:dyDescent="0.3">
      <c r="B17" s="7" t="s">
        <v>12</v>
      </c>
      <c r="C17" s="17"/>
      <c r="H17" s="33"/>
      <c r="I17" s="34"/>
      <c r="K17" s="18"/>
      <c r="L17" s="21"/>
      <c r="M17" s="21"/>
      <c r="N17" s="16"/>
      <c r="O17" s="15"/>
      <c r="P17" s="16"/>
      <c r="U17" s="24"/>
      <c r="V17" s="24"/>
      <c r="W17" s="24"/>
    </row>
    <row r="18" spans="2:23" ht="13.5" customHeight="1" x14ac:dyDescent="0.3">
      <c r="B18" s="7" t="s">
        <v>13</v>
      </c>
      <c r="C18" s="17">
        <v>4</v>
      </c>
      <c r="D18" s="24">
        <v>4</v>
      </c>
      <c r="H18" s="33"/>
      <c r="I18" s="34"/>
      <c r="K18" s="18"/>
      <c r="L18" s="21"/>
      <c r="M18" s="21"/>
      <c r="N18" s="16"/>
      <c r="O18" s="15"/>
      <c r="P18" s="16"/>
      <c r="U18" s="24"/>
      <c r="V18" s="24"/>
      <c r="W18" s="24"/>
    </row>
    <row r="19" spans="2:23" ht="13.5" customHeight="1" thickBot="1" x14ac:dyDescent="0.35">
      <c r="B19" s="7" t="s">
        <v>14</v>
      </c>
      <c r="C19" s="17">
        <v>6</v>
      </c>
      <c r="D19" s="24">
        <v>6</v>
      </c>
      <c r="H19" s="33"/>
      <c r="I19" s="34"/>
      <c r="K19" s="18"/>
      <c r="L19" s="21"/>
      <c r="M19" s="21"/>
      <c r="N19" s="16"/>
      <c r="O19" s="15"/>
      <c r="P19" s="16"/>
    </row>
    <row r="20" spans="2:23" ht="13.5" customHeight="1" x14ac:dyDescent="0.3">
      <c r="B20" s="9" t="s">
        <v>15</v>
      </c>
      <c r="C20" s="20">
        <f>SUM(D20:H20)</f>
        <v>12222</v>
      </c>
      <c r="D20" s="58">
        <f>SUM(D21:D26)</f>
        <v>12222</v>
      </c>
      <c r="E20" s="58"/>
      <c r="F20" s="35"/>
      <c r="G20" s="35"/>
      <c r="H20" s="36">
        <f>H25</f>
        <v>0</v>
      </c>
      <c r="I20" s="59">
        <v>844.15584415584419</v>
      </c>
      <c r="K20" s="56"/>
      <c r="L20" s="58"/>
      <c r="M20" s="58"/>
      <c r="N20" s="58"/>
      <c r="O20" s="57"/>
      <c r="P20" s="59"/>
    </row>
    <row r="21" spans="2:23" ht="13.5" customHeight="1" x14ac:dyDescent="0.3">
      <c r="B21" s="7" t="s">
        <v>16</v>
      </c>
      <c r="C21" s="17">
        <v>10398</v>
      </c>
      <c r="D21" s="41">
        <v>10398</v>
      </c>
      <c r="E21" s="41"/>
      <c r="F21" s="41"/>
      <c r="G21" s="41"/>
      <c r="H21" s="33"/>
      <c r="I21" s="34"/>
      <c r="K21" s="49"/>
      <c r="L21" s="41"/>
      <c r="M21" s="41"/>
      <c r="N21" s="41"/>
      <c r="O21" s="33"/>
      <c r="P21" s="34"/>
    </row>
    <row r="22" spans="2:23" ht="13.5" customHeight="1" x14ac:dyDescent="0.3">
      <c r="B22" s="7" t="s">
        <v>17</v>
      </c>
      <c r="C22" s="17"/>
      <c r="D22" s="41"/>
      <c r="E22" s="41"/>
      <c r="F22" s="41"/>
      <c r="G22" s="41"/>
      <c r="H22" s="33"/>
      <c r="I22" s="34"/>
      <c r="K22" s="18"/>
      <c r="L22" s="21"/>
      <c r="M22" s="21"/>
      <c r="N22" s="21"/>
      <c r="O22" s="15"/>
      <c r="P22" s="16"/>
    </row>
    <row r="23" spans="2:23" ht="13.5" customHeight="1" x14ac:dyDescent="0.3">
      <c r="B23" s="7" t="s">
        <v>18</v>
      </c>
      <c r="C23" s="17"/>
      <c r="D23" s="41"/>
      <c r="E23" s="41"/>
      <c r="F23" s="41"/>
      <c r="G23" s="41"/>
      <c r="H23" s="33"/>
      <c r="I23" s="34"/>
      <c r="K23" s="18"/>
      <c r="L23" s="21"/>
      <c r="M23" s="21"/>
      <c r="N23" s="21"/>
      <c r="O23" s="15"/>
      <c r="P23" s="16"/>
    </row>
    <row r="24" spans="2:23" ht="13.5" customHeight="1" x14ac:dyDescent="0.3">
      <c r="B24" s="7" t="s">
        <v>19</v>
      </c>
      <c r="C24" s="17">
        <v>115</v>
      </c>
      <c r="D24" s="41">
        <v>115</v>
      </c>
      <c r="E24" s="41"/>
      <c r="F24" s="41"/>
      <c r="G24" s="41"/>
      <c r="H24" s="33"/>
      <c r="I24" s="34"/>
      <c r="K24" s="49"/>
      <c r="L24" s="41"/>
      <c r="M24" s="41"/>
      <c r="N24" s="41"/>
      <c r="O24" s="33"/>
      <c r="P24" s="34"/>
    </row>
    <row r="25" spans="2:23" ht="13.5" customHeight="1" x14ac:dyDescent="0.3">
      <c r="B25" s="7" t="s">
        <v>20</v>
      </c>
      <c r="C25" s="17">
        <v>1590</v>
      </c>
      <c r="D25" s="41">
        <v>1590</v>
      </c>
      <c r="E25" s="41"/>
      <c r="F25" s="41"/>
      <c r="G25" s="41"/>
      <c r="H25" s="33"/>
      <c r="I25" s="34">
        <v>844.15584415584419</v>
      </c>
      <c r="K25" s="49"/>
      <c r="L25" s="41"/>
      <c r="M25" s="41"/>
      <c r="N25" s="41"/>
      <c r="O25" s="33"/>
      <c r="P25" s="34"/>
    </row>
    <row r="26" spans="2:23" ht="13.5" customHeight="1" thickBot="1" x14ac:dyDescent="0.35">
      <c r="B26" s="8" t="s">
        <v>21</v>
      </c>
      <c r="C26" s="19">
        <v>119</v>
      </c>
      <c r="D26" s="38">
        <v>119</v>
      </c>
      <c r="E26" s="38"/>
      <c r="F26" s="38"/>
      <c r="G26" s="38"/>
      <c r="H26" s="39"/>
      <c r="I26" s="40"/>
      <c r="K26" s="50"/>
      <c r="L26" s="38"/>
      <c r="M26" s="38"/>
      <c r="N26" s="38"/>
      <c r="O26" s="39"/>
      <c r="P26" s="40"/>
    </row>
    <row r="27" spans="2:23" ht="13.5" customHeight="1" thickBot="1" x14ac:dyDescent="0.35">
      <c r="B27" s="10" t="s">
        <v>22</v>
      </c>
      <c r="C27" s="22"/>
      <c r="D27" s="42">
        <v>15120</v>
      </c>
      <c r="E27" s="42"/>
      <c r="F27" s="42"/>
      <c r="G27" s="42"/>
      <c r="H27" s="43"/>
      <c r="I27" s="44">
        <v>30800</v>
      </c>
      <c r="L27" s="43">
        <v>15120</v>
      </c>
      <c r="M27" s="42"/>
      <c r="N27" s="42"/>
      <c r="O27" s="43">
        <v>16920</v>
      </c>
      <c r="P27" s="44"/>
    </row>
    <row r="28" spans="2:23" ht="15" customHeight="1" x14ac:dyDescent="0.3"/>
    <row r="30" spans="2:23" x14ac:dyDescent="0.3">
      <c r="B30" s="11"/>
      <c r="C30" s="13"/>
    </row>
    <row r="33" spans="2:3" x14ac:dyDescent="0.3">
      <c r="B33" s="12"/>
    </row>
    <row r="34" spans="2:3" x14ac:dyDescent="0.3">
      <c r="B34" s="12"/>
    </row>
    <row r="35" spans="2:3" x14ac:dyDescent="0.3">
      <c r="B35" s="12"/>
    </row>
    <row r="36" spans="2:3" x14ac:dyDescent="0.3">
      <c r="B36" s="13"/>
      <c r="C36" s="13"/>
    </row>
    <row r="37" spans="2:3" x14ac:dyDescent="0.3">
      <c r="B37" s="12"/>
    </row>
    <row r="38" spans="2:3" x14ac:dyDescent="0.3">
      <c r="B38" s="6"/>
      <c r="C38" s="6"/>
    </row>
    <row r="39" spans="2:3" x14ac:dyDescent="0.3">
      <c r="B39" s="6"/>
      <c r="C39" s="6"/>
    </row>
    <row r="40" spans="2:3" x14ac:dyDescent="0.3">
      <c r="B40" s="6"/>
      <c r="C40" s="6"/>
    </row>
    <row r="41" spans="2:3" x14ac:dyDescent="0.3">
      <c r="B41" s="6"/>
      <c r="C41" s="6"/>
    </row>
    <row r="42" spans="2:3" x14ac:dyDescent="0.3">
      <c r="B42" s="6"/>
      <c r="C42" s="6"/>
    </row>
    <row r="43" spans="2:3" x14ac:dyDescent="0.3">
      <c r="B43" s="12"/>
    </row>
    <row r="44" spans="2:3" x14ac:dyDescent="0.3">
      <c r="B44" s="12"/>
    </row>
    <row r="45" spans="2:3" x14ac:dyDescent="0.3">
      <c r="B45" s="12"/>
    </row>
    <row r="46" spans="2:3" x14ac:dyDescent="0.3">
      <c r="B46" s="13"/>
      <c r="C46" s="13"/>
    </row>
    <row r="47" spans="2:3" x14ac:dyDescent="0.3">
      <c r="B47" s="14"/>
      <c r="C47" s="14"/>
    </row>
    <row r="48" spans="2:3" x14ac:dyDescent="0.3">
      <c r="B48" s="14"/>
      <c r="C48" s="14"/>
    </row>
    <row r="49" spans="2:3" x14ac:dyDescent="0.3">
      <c r="B49" s="14"/>
      <c r="C49" s="14"/>
    </row>
    <row r="50" spans="2:3" x14ac:dyDescent="0.3">
      <c r="B50" s="14"/>
      <c r="C50" s="14"/>
    </row>
    <row r="51" spans="2:3" x14ac:dyDescent="0.3">
      <c r="B51" s="14"/>
      <c r="C51" s="14"/>
    </row>
    <row r="52" spans="2:3" x14ac:dyDescent="0.3">
      <c r="B52" s="14"/>
      <c r="C52" s="14"/>
    </row>
    <row r="53" spans="2:3" x14ac:dyDescent="0.3">
      <c r="B53" s="14"/>
      <c r="C53" s="14"/>
    </row>
    <row r="54" spans="2:3" x14ac:dyDescent="0.3">
      <c r="B54" s="12"/>
    </row>
  </sheetData>
  <mergeCells count="2">
    <mergeCell ref="C2:I2"/>
    <mergeCell ref="K2:P2"/>
  </mergeCells>
  <printOptions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4"/>
  <sheetViews>
    <sheetView tabSelected="1" zoomScale="70" zoomScaleNormal="70" workbookViewId="0">
      <selection activeCell="C11" sqref="C11"/>
    </sheetView>
  </sheetViews>
  <sheetFormatPr defaultRowHeight="13" x14ac:dyDescent="0.3"/>
  <cols>
    <col min="1" max="1" width="3.26953125" style="2" customWidth="1"/>
    <col min="2" max="2" width="22.26953125" style="1" customWidth="1"/>
    <col min="3" max="3" width="7.81640625" style="12" customWidth="1"/>
    <col min="4" max="5" width="8.81640625" style="24" customWidth="1"/>
    <col min="6" max="6" width="6.81640625" style="24" customWidth="1"/>
    <col min="7" max="9" width="7.81640625" style="24" customWidth="1"/>
    <col min="10" max="10" width="2.6328125" style="2" customWidth="1"/>
    <col min="11" max="16384" width="8.7265625" style="2"/>
  </cols>
  <sheetData>
    <row r="1" spans="2:23" ht="13.5" customHeight="1" thickBot="1" x14ac:dyDescent="0.35">
      <c r="B1" s="23" t="s">
        <v>66</v>
      </c>
    </row>
    <row r="2" spans="2:23" ht="13.5" customHeight="1" thickBot="1" x14ac:dyDescent="0.35">
      <c r="C2" s="208" t="s">
        <v>43</v>
      </c>
      <c r="D2" s="209"/>
      <c r="E2" s="209"/>
      <c r="F2" s="209"/>
      <c r="G2" s="209"/>
      <c r="H2" s="209"/>
      <c r="I2" s="210"/>
      <c r="J2" s="60"/>
      <c r="K2" s="211" t="s">
        <v>76</v>
      </c>
      <c r="L2" s="212"/>
      <c r="M2" s="212"/>
      <c r="N2" s="212"/>
      <c r="O2" s="212"/>
      <c r="P2" s="213"/>
    </row>
    <row r="3" spans="2:23" ht="39.5" customHeight="1" x14ac:dyDescent="0.3">
      <c r="B3" s="3" t="s">
        <v>0</v>
      </c>
      <c r="C3" s="25" t="s">
        <v>30</v>
      </c>
      <c r="D3" s="26" t="s">
        <v>23</v>
      </c>
      <c r="E3" s="26" t="s">
        <v>24</v>
      </c>
      <c r="F3" s="26" t="s">
        <v>25</v>
      </c>
      <c r="G3" s="26" t="s">
        <v>31</v>
      </c>
      <c r="H3" s="27" t="s">
        <v>33</v>
      </c>
      <c r="I3" s="28" t="s">
        <v>27</v>
      </c>
      <c r="K3" s="25" t="s">
        <v>41</v>
      </c>
      <c r="L3" s="26" t="s">
        <v>23</v>
      </c>
      <c r="M3" s="26" t="s">
        <v>24</v>
      </c>
      <c r="N3" s="28" t="s">
        <v>25</v>
      </c>
      <c r="O3" s="27" t="s">
        <v>33</v>
      </c>
      <c r="P3" s="28" t="s">
        <v>27</v>
      </c>
    </row>
    <row r="4" spans="2:23" ht="13.5" customHeight="1" thickBot="1" x14ac:dyDescent="0.35">
      <c r="B4" s="4">
        <v>2013</v>
      </c>
      <c r="C4" s="29" t="s">
        <v>29</v>
      </c>
      <c r="D4" s="30" t="s">
        <v>29</v>
      </c>
      <c r="E4" s="30" t="s">
        <v>29</v>
      </c>
      <c r="F4" s="30" t="s">
        <v>29</v>
      </c>
      <c r="G4" s="30" t="s">
        <v>29</v>
      </c>
      <c r="H4" s="31" t="s">
        <v>29</v>
      </c>
      <c r="I4" s="32" t="s">
        <v>28</v>
      </c>
      <c r="K4" s="29" t="s">
        <v>29</v>
      </c>
      <c r="L4" s="30" t="s">
        <v>29</v>
      </c>
      <c r="M4" s="30" t="s">
        <v>29</v>
      </c>
      <c r="N4" s="32" t="s">
        <v>29</v>
      </c>
      <c r="O4" s="72" t="s">
        <v>29</v>
      </c>
      <c r="P4" s="73" t="s">
        <v>28</v>
      </c>
      <c r="U4" s="2" t="s">
        <v>80</v>
      </c>
      <c r="V4" s="2" t="s">
        <v>81</v>
      </c>
      <c r="W4" s="2" t="s">
        <v>82</v>
      </c>
    </row>
    <row r="5" spans="2:23" ht="13.5" customHeight="1" x14ac:dyDescent="0.3">
      <c r="B5" s="5" t="s">
        <v>1</v>
      </c>
      <c r="C5" s="45">
        <f>SUM(D5:H5)</f>
        <v>89554.505040000004</v>
      </c>
      <c r="D5" s="35">
        <v>88966.503360000002</v>
      </c>
      <c r="E5" s="35">
        <v>588.00167999999996</v>
      </c>
      <c r="F5" s="35"/>
      <c r="G5" s="35"/>
      <c r="H5" s="36"/>
      <c r="I5" s="37"/>
      <c r="K5" s="49">
        <f>SUM(L5:O5)</f>
        <v>46448.639999999999</v>
      </c>
      <c r="L5" s="36">
        <f>V7*L$27/1000000*0.75</f>
        <v>46448.639999999999</v>
      </c>
      <c r="M5" s="74"/>
      <c r="N5" s="74"/>
      <c r="O5" s="36">
        <f>W7*O$27/1000000</f>
        <v>0</v>
      </c>
      <c r="P5" s="37">
        <f>U7</f>
        <v>0</v>
      </c>
      <c r="T5" s="2" t="s">
        <v>79</v>
      </c>
      <c r="U5" s="24">
        <v>777</v>
      </c>
      <c r="V5" s="24">
        <v>2000</v>
      </c>
      <c r="W5" s="24">
        <v>100</v>
      </c>
    </row>
    <row r="6" spans="2:23" ht="13.5" customHeight="1" x14ac:dyDescent="0.3">
      <c r="B6" s="7" t="s">
        <v>2</v>
      </c>
      <c r="C6" s="17"/>
      <c r="D6" s="41"/>
      <c r="E6" s="41"/>
      <c r="F6" s="41"/>
      <c r="G6" s="41"/>
      <c r="H6" s="33"/>
      <c r="I6" s="34"/>
      <c r="K6" s="49">
        <f>SUM(L6:O6)</f>
        <v>308.54880000000003</v>
      </c>
      <c r="L6" s="33">
        <f>V6*L$27/1000000*0.75</f>
        <v>306.18</v>
      </c>
      <c r="M6" s="41"/>
      <c r="N6" s="41"/>
      <c r="O6" s="33">
        <f>W6*O$27/1000000</f>
        <v>2.3687999999999998</v>
      </c>
      <c r="P6" s="34">
        <f>U6</f>
        <v>73708</v>
      </c>
      <c r="T6" s="2" t="s">
        <v>78</v>
      </c>
      <c r="U6" s="24">
        <v>73708</v>
      </c>
      <c r="V6" s="24">
        <v>27000</v>
      </c>
      <c r="W6" s="24">
        <v>140</v>
      </c>
    </row>
    <row r="7" spans="2:23" ht="13.5" customHeight="1" x14ac:dyDescent="0.3">
      <c r="B7" s="7" t="s">
        <v>3</v>
      </c>
      <c r="C7" s="17"/>
      <c r="D7" s="41"/>
      <c r="E7" s="41"/>
      <c r="F7" s="41"/>
      <c r="G7" s="41"/>
      <c r="H7" s="33"/>
      <c r="I7" s="34"/>
      <c r="K7" s="49">
        <f>SUM(L7:O7)</f>
        <v>24.372</v>
      </c>
      <c r="L7" s="33">
        <f>V5*L$27/1000000*0.75</f>
        <v>22.68</v>
      </c>
      <c r="M7" s="41"/>
      <c r="N7" s="41"/>
      <c r="O7" s="33">
        <f>W5*O$27/1000000</f>
        <v>1.6919999999999999</v>
      </c>
      <c r="P7" s="34">
        <f>U5</f>
        <v>777</v>
      </c>
      <c r="T7" s="2" t="s">
        <v>77</v>
      </c>
      <c r="U7" s="2">
        <v>0</v>
      </c>
      <c r="V7" s="24">
        <v>4096000</v>
      </c>
      <c r="W7" s="24"/>
    </row>
    <row r="8" spans="2:23" ht="13.5" customHeight="1" x14ac:dyDescent="0.3">
      <c r="B8" s="7" t="s">
        <v>4</v>
      </c>
      <c r="C8" s="17"/>
      <c r="D8" s="41"/>
      <c r="E8" s="41"/>
      <c r="F8" s="41"/>
      <c r="G8" s="41"/>
      <c r="H8" s="33"/>
      <c r="I8" s="34"/>
      <c r="K8" s="49"/>
      <c r="L8" s="21"/>
      <c r="M8" s="21"/>
      <c r="N8" s="21"/>
      <c r="O8" s="15"/>
      <c r="P8" s="16"/>
    </row>
    <row r="9" spans="2:23" ht="13.5" customHeight="1" x14ac:dyDescent="0.3">
      <c r="B9" s="7" t="s">
        <v>5</v>
      </c>
      <c r="C9" s="17"/>
      <c r="D9" s="41"/>
      <c r="E9" s="41"/>
      <c r="F9" s="41"/>
      <c r="G9" s="41"/>
      <c r="H9" s="33"/>
      <c r="I9" s="34"/>
      <c r="K9" s="49"/>
      <c r="L9" s="21"/>
      <c r="M9" s="21"/>
      <c r="N9" s="21"/>
      <c r="O9" s="15"/>
      <c r="P9" s="16"/>
    </row>
    <row r="10" spans="2:23" ht="13.5" customHeight="1" thickBot="1" x14ac:dyDescent="0.35">
      <c r="B10" s="46" t="s">
        <v>6</v>
      </c>
      <c r="C10" s="47">
        <f>SUM(D10:H10)</f>
        <v>89554.505040000004</v>
      </c>
      <c r="D10" s="61">
        <f>D5+D6-D7+D8</f>
        <v>88966.503360000002</v>
      </c>
      <c r="E10" s="61">
        <v>588.00167999999996</v>
      </c>
      <c r="F10" s="61"/>
      <c r="G10" s="61"/>
      <c r="H10" s="66">
        <f>H5</f>
        <v>0</v>
      </c>
      <c r="I10" s="62"/>
      <c r="K10" s="51">
        <f>SUM(L10:O10)</f>
        <v>46732.816800000001</v>
      </c>
      <c r="L10" s="66">
        <f>L5+L6-L7</f>
        <v>46732.14</v>
      </c>
      <c r="M10" s="53"/>
      <c r="N10" s="53"/>
      <c r="O10" s="66">
        <f>O5+O6-O7</f>
        <v>0.67679999999999985</v>
      </c>
      <c r="P10" s="62">
        <f>P5+P6-P7</f>
        <v>72931</v>
      </c>
    </row>
    <row r="11" spans="2:23" ht="13.5" customHeight="1" thickBot="1" x14ac:dyDescent="0.35">
      <c r="B11" s="8" t="s">
        <v>7</v>
      </c>
      <c r="C11" s="19"/>
      <c r="D11" s="38"/>
      <c r="E11" s="38"/>
      <c r="F11" s="38"/>
      <c r="G11" s="38"/>
      <c r="H11" s="39"/>
      <c r="I11" s="40"/>
      <c r="K11" s="55">
        <f>SUM(L11:O11)</f>
        <v>0</v>
      </c>
      <c r="L11" s="67"/>
      <c r="M11" s="67"/>
      <c r="N11" s="68"/>
      <c r="O11" s="39"/>
      <c r="P11" s="40"/>
    </row>
    <row r="12" spans="2:23" ht="13.5" customHeight="1" x14ac:dyDescent="0.3">
      <c r="B12" s="7" t="s">
        <v>8</v>
      </c>
      <c r="C12" s="17">
        <f t="shared" ref="C12" si="0">SUM(D12:H12)</f>
        <v>217</v>
      </c>
      <c r="E12" s="24">
        <v>217</v>
      </c>
      <c r="H12" s="33"/>
      <c r="I12" s="34"/>
      <c r="K12" s="49"/>
      <c r="L12" s="41"/>
      <c r="M12" s="41"/>
      <c r="N12" s="34"/>
      <c r="O12" s="33"/>
      <c r="P12" s="34"/>
    </row>
    <row r="13" spans="2:23" ht="13.5" customHeight="1" x14ac:dyDescent="0.3">
      <c r="B13" s="7" t="s">
        <v>9</v>
      </c>
      <c r="C13" s="17">
        <f>SUM(D13:H13)</f>
        <v>371</v>
      </c>
      <c r="E13" s="24">
        <v>371</v>
      </c>
      <c r="H13" s="33"/>
      <c r="I13" s="34"/>
      <c r="K13" s="18"/>
      <c r="L13" s="21"/>
      <c r="M13" s="21"/>
      <c r="N13" s="16"/>
      <c r="O13" s="15"/>
      <c r="P13" s="16"/>
      <c r="U13" s="24"/>
      <c r="V13" s="24"/>
      <c r="W13" s="24"/>
    </row>
    <row r="14" spans="2:23" ht="13.5" customHeight="1" x14ac:dyDescent="0.3">
      <c r="B14" s="7" t="s">
        <v>10</v>
      </c>
      <c r="C14" s="17"/>
      <c r="H14" s="33"/>
      <c r="I14" s="34"/>
      <c r="K14" s="18"/>
      <c r="L14" s="21"/>
      <c r="M14" s="21"/>
      <c r="N14" s="16"/>
      <c r="O14" s="15"/>
      <c r="P14" s="16"/>
      <c r="U14" s="24"/>
      <c r="V14" s="24"/>
      <c r="W14" s="24"/>
    </row>
    <row r="15" spans="2:23" ht="13.5" customHeight="1" x14ac:dyDescent="0.3">
      <c r="B15" s="7" t="s">
        <v>11</v>
      </c>
      <c r="C15" s="17"/>
      <c r="H15" s="33"/>
      <c r="I15" s="34"/>
      <c r="K15" s="18"/>
      <c r="L15" s="21"/>
      <c r="M15" s="21"/>
      <c r="N15" s="16"/>
      <c r="O15" s="15"/>
      <c r="P15" s="16"/>
      <c r="V15" s="24"/>
      <c r="W15" s="24"/>
    </row>
    <row r="16" spans="2:23" ht="13.5" customHeight="1" x14ac:dyDescent="0.3">
      <c r="B16" s="7" t="s">
        <v>34</v>
      </c>
      <c r="C16" s="17"/>
      <c r="H16" s="33"/>
      <c r="I16" s="34"/>
      <c r="K16" s="18"/>
      <c r="L16" s="21"/>
      <c r="M16" s="21"/>
      <c r="N16" s="16"/>
      <c r="O16" s="15"/>
      <c r="P16" s="16"/>
      <c r="U16" s="24"/>
      <c r="V16" s="24"/>
      <c r="W16" s="24"/>
    </row>
    <row r="17" spans="2:23" ht="13.5" customHeight="1" x14ac:dyDescent="0.3">
      <c r="B17" s="7" t="s">
        <v>12</v>
      </c>
      <c r="C17" s="17"/>
      <c r="H17" s="33"/>
      <c r="I17" s="34"/>
      <c r="K17" s="18"/>
      <c r="L17" s="21"/>
      <c r="M17" s="21"/>
      <c r="N17" s="16"/>
      <c r="O17" s="15"/>
      <c r="P17" s="16"/>
      <c r="V17" s="24"/>
      <c r="W17" s="24"/>
    </row>
    <row r="18" spans="2:23" ht="13.5" customHeight="1" x14ac:dyDescent="0.3">
      <c r="B18" s="7" t="s">
        <v>13</v>
      </c>
      <c r="C18" s="17"/>
      <c r="H18" s="33"/>
      <c r="I18" s="34"/>
      <c r="K18" s="18"/>
      <c r="L18" s="21"/>
      <c r="M18" s="21"/>
      <c r="N18" s="16"/>
      <c r="O18" s="15"/>
      <c r="P18" s="16"/>
      <c r="U18" s="24"/>
      <c r="V18" s="24"/>
      <c r="W18" s="24"/>
    </row>
    <row r="19" spans="2:23" ht="13.5" customHeight="1" thickBot="1" x14ac:dyDescent="0.35">
      <c r="B19" s="7" t="s">
        <v>14</v>
      </c>
      <c r="C19" s="17"/>
      <c r="H19" s="33"/>
      <c r="I19" s="34"/>
      <c r="K19" s="18"/>
      <c r="L19" s="21"/>
      <c r="M19" s="21"/>
      <c r="N19" s="16"/>
      <c r="O19" s="15"/>
      <c r="P19" s="16"/>
      <c r="V19" s="24"/>
    </row>
    <row r="20" spans="2:23" ht="13.5" customHeight="1" x14ac:dyDescent="0.3">
      <c r="B20" s="9" t="s">
        <v>15</v>
      </c>
      <c r="C20" s="20">
        <f>SUM(D20:H20)</f>
        <v>178651</v>
      </c>
      <c r="D20" s="58">
        <f>SUM(D21:D26)</f>
        <v>178651</v>
      </c>
      <c r="E20" s="58"/>
      <c r="F20" s="58"/>
      <c r="G20" s="58"/>
      <c r="H20" s="57">
        <f>H25</f>
        <v>0</v>
      </c>
      <c r="I20" s="59"/>
      <c r="K20" s="56"/>
      <c r="L20" s="58"/>
      <c r="M20" s="58"/>
      <c r="N20" s="58"/>
      <c r="O20" s="57"/>
      <c r="P20" s="59"/>
    </row>
    <row r="21" spans="2:23" ht="13.5" customHeight="1" x14ac:dyDescent="0.3">
      <c r="B21" s="7" t="s">
        <v>16</v>
      </c>
      <c r="C21" s="17"/>
      <c r="D21" s="41"/>
      <c r="E21" s="41"/>
      <c r="F21" s="41"/>
      <c r="G21" s="41"/>
      <c r="H21" s="33"/>
      <c r="I21" s="34"/>
      <c r="K21" s="49"/>
      <c r="L21" s="41"/>
      <c r="M21" s="41"/>
      <c r="N21" s="41"/>
      <c r="O21" s="33"/>
      <c r="P21" s="34"/>
    </row>
    <row r="22" spans="2:23" ht="13.5" customHeight="1" x14ac:dyDescent="0.3">
      <c r="B22" s="7" t="s">
        <v>17</v>
      </c>
      <c r="C22" s="17"/>
      <c r="D22" s="41"/>
      <c r="E22" s="41"/>
      <c r="F22" s="41"/>
      <c r="G22" s="41"/>
      <c r="H22" s="33"/>
      <c r="I22" s="34"/>
      <c r="K22" s="18"/>
      <c r="L22" s="21"/>
      <c r="M22" s="21"/>
      <c r="N22" s="21"/>
      <c r="O22" s="15"/>
      <c r="P22" s="16"/>
    </row>
    <row r="23" spans="2:23" ht="13.5" customHeight="1" x14ac:dyDescent="0.3">
      <c r="B23" s="7" t="s">
        <v>18</v>
      </c>
      <c r="C23" s="17"/>
      <c r="D23" s="41"/>
      <c r="E23" s="41"/>
      <c r="F23" s="41"/>
      <c r="G23" s="41"/>
      <c r="H23" s="33"/>
      <c r="I23" s="34"/>
      <c r="K23" s="18"/>
      <c r="L23" s="21"/>
      <c r="M23" s="21"/>
      <c r="N23" s="21"/>
      <c r="O23" s="15"/>
      <c r="P23" s="16"/>
    </row>
    <row r="24" spans="2:23" ht="13.5" customHeight="1" x14ac:dyDescent="0.3">
      <c r="B24" s="7" t="s">
        <v>19</v>
      </c>
      <c r="C24" s="17"/>
      <c r="D24" s="41"/>
      <c r="E24" s="41"/>
      <c r="F24" s="41"/>
      <c r="G24" s="41"/>
      <c r="H24" s="33"/>
      <c r="I24" s="34"/>
      <c r="K24" s="49"/>
      <c r="L24" s="41"/>
      <c r="M24" s="41"/>
      <c r="N24" s="41"/>
      <c r="O24" s="33"/>
      <c r="P24" s="34"/>
    </row>
    <row r="25" spans="2:23" ht="13.5" customHeight="1" x14ac:dyDescent="0.3">
      <c r="B25" s="7" t="s">
        <v>20</v>
      </c>
      <c r="C25" s="17">
        <f t="shared" ref="C25" si="1">SUM(D25:H25)</f>
        <v>178651</v>
      </c>
      <c r="D25" s="41">
        <v>178651</v>
      </c>
      <c r="E25" s="41"/>
      <c r="F25" s="41"/>
      <c r="G25" s="41"/>
      <c r="H25" s="33"/>
      <c r="I25" s="34"/>
      <c r="K25" s="49"/>
      <c r="L25" s="41"/>
      <c r="M25" s="41"/>
      <c r="N25" s="41"/>
      <c r="O25" s="33"/>
      <c r="P25" s="34"/>
    </row>
    <row r="26" spans="2:23" ht="13.5" customHeight="1" thickBot="1" x14ac:dyDescent="0.35">
      <c r="B26" s="8" t="s">
        <v>21</v>
      </c>
      <c r="C26" s="17"/>
      <c r="D26" s="38"/>
      <c r="E26" s="38"/>
      <c r="F26" s="38"/>
      <c r="G26" s="38"/>
      <c r="H26" s="39"/>
      <c r="I26" s="40"/>
      <c r="K26" s="50"/>
      <c r="L26" s="38"/>
      <c r="M26" s="38"/>
      <c r="N26" s="38"/>
      <c r="O26" s="39"/>
      <c r="P26" s="40"/>
    </row>
    <row r="27" spans="2:23" ht="13.5" customHeight="1" thickBot="1" x14ac:dyDescent="0.35">
      <c r="B27" s="10" t="s">
        <v>22</v>
      </c>
      <c r="C27" s="22"/>
      <c r="D27" s="42">
        <v>15120</v>
      </c>
      <c r="E27" s="42">
        <v>15120</v>
      </c>
      <c r="F27" s="42"/>
      <c r="G27" s="42"/>
      <c r="H27" s="43"/>
      <c r="I27" s="44"/>
      <c r="L27" s="43">
        <v>15120</v>
      </c>
      <c r="M27" s="42"/>
      <c r="N27" s="42"/>
      <c r="O27" s="43">
        <v>16920</v>
      </c>
      <c r="P27" s="44"/>
    </row>
    <row r="28" spans="2:23" ht="15" customHeight="1" x14ac:dyDescent="0.3"/>
    <row r="29" spans="2:23" x14ac:dyDescent="0.3">
      <c r="G29" s="2"/>
      <c r="H29" s="2"/>
    </row>
    <row r="30" spans="2:23" x14ac:dyDescent="0.3">
      <c r="B30" s="11"/>
      <c r="C30" s="13"/>
      <c r="G30" s="2"/>
      <c r="H30" s="2"/>
    </row>
    <row r="31" spans="2:23" x14ac:dyDescent="0.3">
      <c r="G31" s="2"/>
      <c r="H31" s="2"/>
    </row>
    <row r="32" spans="2:23" x14ac:dyDescent="0.3">
      <c r="G32" s="2"/>
      <c r="H32" s="2"/>
    </row>
    <row r="33" spans="2:8" x14ac:dyDescent="0.3">
      <c r="B33" s="12"/>
      <c r="G33" s="2"/>
      <c r="H33" s="2"/>
    </row>
    <row r="34" spans="2:8" x14ac:dyDescent="0.3">
      <c r="B34" s="12"/>
      <c r="G34" s="2"/>
      <c r="H34" s="2"/>
    </row>
    <row r="35" spans="2:8" x14ac:dyDescent="0.3">
      <c r="B35" s="12"/>
      <c r="G35" s="2"/>
      <c r="H35" s="2"/>
    </row>
    <row r="36" spans="2:8" x14ac:dyDescent="0.3">
      <c r="B36" s="13"/>
      <c r="C36" s="13"/>
      <c r="G36" s="2"/>
      <c r="H36" s="2"/>
    </row>
    <row r="37" spans="2:8" x14ac:dyDescent="0.3">
      <c r="B37" s="12"/>
      <c r="G37" s="2"/>
      <c r="H37" s="2"/>
    </row>
    <row r="38" spans="2:8" x14ac:dyDescent="0.3">
      <c r="B38" s="6"/>
      <c r="C38" s="6"/>
      <c r="G38" s="2"/>
      <c r="H38" s="2"/>
    </row>
    <row r="39" spans="2:8" x14ac:dyDescent="0.3">
      <c r="B39" s="6"/>
      <c r="C39" s="6"/>
      <c r="G39" s="2"/>
      <c r="H39" s="2"/>
    </row>
    <row r="40" spans="2:8" x14ac:dyDescent="0.3">
      <c r="B40" s="6"/>
      <c r="C40" s="6"/>
      <c r="G40" s="2"/>
      <c r="H40" s="2"/>
    </row>
    <row r="41" spans="2:8" x14ac:dyDescent="0.3">
      <c r="B41" s="6"/>
      <c r="C41" s="6"/>
      <c r="G41" s="2"/>
      <c r="H41" s="2"/>
    </row>
    <row r="42" spans="2:8" x14ac:dyDescent="0.3">
      <c r="B42" s="6"/>
      <c r="C42" s="6"/>
      <c r="G42" s="2"/>
      <c r="H42" s="2"/>
    </row>
    <row r="43" spans="2:8" x14ac:dyDescent="0.3">
      <c r="B43" s="12"/>
      <c r="G43" s="2"/>
      <c r="H43" s="2"/>
    </row>
    <row r="44" spans="2:8" x14ac:dyDescent="0.3">
      <c r="B44" s="12"/>
      <c r="G44" s="2"/>
      <c r="H44" s="2"/>
    </row>
    <row r="45" spans="2:8" x14ac:dyDescent="0.3">
      <c r="B45" s="12"/>
      <c r="G45" s="2"/>
      <c r="H45" s="2"/>
    </row>
    <row r="46" spans="2:8" x14ac:dyDescent="0.3">
      <c r="B46" s="13"/>
      <c r="C46" s="13"/>
      <c r="G46" s="2"/>
      <c r="H46" s="2"/>
    </row>
    <row r="47" spans="2:8" x14ac:dyDescent="0.3">
      <c r="B47" s="14"/>
      <c r="C47" s="14"/>
      <c r="G47" s="2"/>
      <c r="H47" s="2"/>
    </row>
    <row r="48" spans="2:8" x14ac:dyDescent="0.3">
      <c r="B48" s="14"/>
      <c r="C48" s="14"/>
      <c r="G48" s="2"/>
      <c r="H48" s="2"/>
    </row>
    <row r="49" spans="2:8" x14ac:dyDescent="0.3">
      <c r="B49" s="14"/>
      <c r="C49" s="14"/>
      <c r="G49" s="2"/>
      <c r="H49" s="2"/>
    </row>
    <row r="50" spans="2:8" x14ac:dyDescent="0.3">
      <c r="B50" s="14"/>
      <c r="C50" s="14"/>
      <c r="G50" s="2"/>
      <c r="H50" s="2"/>
    </row>
    <row r="51" spans="2:8" x14ac:dyDescent="0.3">
      <c r="B51" s="14"/>
      <c r="C51" s="14"/>
      <c r="G51" s="2"/>
      <c r="H51" s="2"/>
    </row>
    <row r="52" spans="2:8" x14ac:dyDescent="0.3">
      <c r="B52" s="14"/>
      <c r="C52" s="14"/>
      <c r="G52" s="2"/>
      <c r="H52" s="2"/>
    </row>
    <row r="53" spans="2:8" x14ac:dyDescent="0.3">
      <c r="B53" s="14"/>
      <c r="C53" s="14"/>
      <c r="G53" s="2"/>
      <c r="H53" s="2"/>
    </row>
    <row r="54" spans="2:8" x14ac:dyDescent="0.3">
      <c r="B54" s="12"/>
    </row>
  </sheetData>
  <mergeCells count="2">
    <mergeCell ref="C2:I2"/>
    <mergeCell ref="K2:P2"/>
  </mergeCells>
  <printOptions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4"/>
  <sheetViews>
    <sheetView tabSelected="1" zoomScale="70" zoomScaleNormal="70" workbookViewId="0">
      <selection activeCell="C11" sqref="C11"/>
    </sheetView>
  </sheetViews>
  <sheetFormatPr defaultRowHeight="13" x14ac:dyDescent="0.3"/>
  <cols>
    <col min="1" max="1" width="3.26953125" style="2" customWidth="1"/>
    <col min="2" max="2" width="22.26953125" style="1" customWidth="1"/>
    <col min="3" max="3" width="7.81640625" style="12" customWidth="1"/>
    <col min="4" max="5" width="8.81640625" style="24" customWidth="1"/>
    <col min="6" max="6" width="6.81640625" style="24" customWidth="1"/>
    <col min="7" max="9" width="7.81640625" style="24" customWidth="1"/>
    <col min="10" max="10" width="2.6328125" style="2" customWidth="1"/>
    <col min="11" max="19" width="8.7265625" style="2"/>
    <col min="20" max="20" width="9.90625" style="2" bestFit="1" customWidth="1"/>
    <col min="21" max="16384" width="8.7265625" style="2"/>
  </cols>
  <sheetData>
    <row r="1" spans="2:24" ht="13.5" customHeight="1" thickBot="1" x14ac:dyDescent="0.35">
      <c r="B1" s="23" t="s">
        <v>75</v>
      </c>
    </row>
    <row r="2" spans="2:24" ht="13.5" customHeight="1" thickBot="1" x14ac:dyDescent="0.35">
      <c r="C2" s="208" t="s">
        <v>43</v>
      </c>
      <c r="D2" s="209"/>
      <c r="E2" s="209"/>
      <c r="F2" s="209"/>
      <c r="G2" s="209"/>
      <c r="H2" s="209"/>
      <c r="I2" s="210"/>
      <c r="J2" s="60"/>
      <c r="K2" s="211" t="s">
        <v>76</v>
      </c>
      <c r="L2" s="212"/>
      <c r="M2" s="212"/>
      <c r="N2" s="212"/>
      <c r="O2" s="212"/>
      <c r="P2" s="213"/>
    </row>
    <row r="3" spans="2:24" ht="39.5" customHeight="1" x14ac:dyDescent="0.3">
      <c r="B3" s="3" t="s">
        <v>0</v>
      </c>
      <c r="C3" s="25" t="s">
        <v>30</v>
      </c>
      <c r="D3" s="26" t="s">
        <v>23</v>
      </c>
      <c r="E3" s="26" t="s">
        <v>24</v>
      </c>
      <c r="F3" s="26" t="s">
        <v>25</v>
      </c>
      <c r="G3" s="26" t="s">
        <v>31</v>
      </c>
      <c r="H3" s="27" t="s">
        <v>33</v>
      </c>
      <c r="I3" s="28" t="s">
        <v>27</v>
      </c>
      <c r="K3" s="25" t="s">
        <v>41</v>
      </c>
      <c r="L3" s="26" t="s">
        <v>23</v>
      </c>
      <c r="M3" s="26" t="s">
        <v>24</v>
      </c>
      <c r="N3" s="28" t="s">
        <v>25</v>
      </c>
      <c r="O3" s="27" t="s">
        <v>33</v>
      </c>
      <c r="P3" s="28" t="s">
        <v>27</v>
      </c>
    </row>
    <row r="4" spans="2:24" ht="13.5" customHeight="1" thickBot="1" x14ac:dyDescent="0.35">
      <c r="B4" s="4">
        <v>2013</v>
      </c>
      <c r="C4" s="65" t="s">
        <v>29</v>
      </c>
      <c r="D4" s="30" t="s">
        <v>29</v>
      </c>
      <c r="E4" s="30" t="s">
        <v>29</v>
      </c>
      <c r="F4" s="30" t="s">
        <v>29</v>
      </c>
      <c r="G4" s="30" t="s">
        <v>29</v>
      </c>
      <c r="H4" s="31" t="s">
        <v>29</v>
      </c>
      <c r="I4" s="32" t="s">
        <v>28</v>
      </c>
      <c r="K4" s="29" t="s">
        <v>29</v>
      </c>
      <c r="L4" s="30" t="s">
        <v>29</v>
      </c>
      <c r="M4" s="30" t="s">
        <v>29</v>
      </c>
      <c r="N4" s="32" t="s">
        <v>29</v>
      </c>
      <c r="O4" s="72" t="s">
        <v>29</v>
      </c>
      <c r="P4" s="73" t="s">
        <v>28</v>
      </c>
      <c r="U4" s="2" t="s">
        <v>80</v>
      </c>
      <c r="V4" s="2" t="s">
        <v>81</v>
      </c>
      <c r="W4" s="2" t="s">
        <v>82</v>
      </c>
    </row>
    <row r="5" spans="2:24" ht="13.5" customHeight="1" x14ac:dyDescent="0.3">
      <c r="B5" s="5" t="s">
        <v>1</v>
      </c>
      <c r="C5" s="45">
        <f>SUM(D5:H5)</f>
        <v>90241.002359999999</v>
      </c>
      <c r="D5" s="24">
        <v>88966.503360000002</v>
      </c>
      <c r="E5" s="35"/>
      <c r="F5" s="35"/>
      <c r="G5" s="35"/>
      <c r="H5" s="36">
        <v>1274.499</v>
      </c>
      <c r="I5" s="37">
        <v>133000</v>
      </c>
      <c r="K5" s="49">
        <f>SUM(L5:O5)</f>
        <v>116043.73199999999</v>
      </c>
      <c r="L5" s="36">
        <f>V7*L$27/1000000*0.75</f>
        <v>112490.53199999999</v>
      </c>
      <c r="M5" s="74"/>
      <c r="N5" s="74"/>
      <c r="O5" s="36">
        <f>W7*O$27/1000000</f>
        <v>3553.2</v>
      </c>
      <c r="P5" s="37">
        <f>U7</f>
        <v>100000</v>
      </c>
      <c r="T5" s="2" t="s">
        <v>79</v>
      </c>
      <c r="U5" s="24">
        <v>89110</v>
      </c>
      <c r="V5" s="24">
        <v>1064560</v>
      </c>
      <c r="W5" s="24">
        <v>165000</v>
      </c>
    </row>
    <row r="6" spans="2:24" ht="13.5" customHeight="1" x14ac:dyDescent="0.3">
      <c r="B6" s="7" t="s">
        <v>2</v>
      </c>
      <c r="C6" s="17">
        <f t="shared" ref="C6:C8" si="0">SUM(D6:H6)</f>
        <v>0</v>
      </c>
      <c r="D6" s="24">
        <v>0</v>
      </c>
      <c r="E6" s="41"/>
      <c r="F6" s="41"/>
      <c r="G6" s="41"/>
      <c r="H6" s="33"/>
      <c r="I6" s="34">
        <v>1000</v>
      </c>
      <c r="K6" s="49">
        <f>SUM(L6:O6)</f>
        <v>10.761839999999999</v>
      </c>
      <c r="L6" s="33">
        <f>V6*L$27/1000000*0.75</f>
        <v>2.2679999999999998</v>
      </c>
      <c r="M6" s="41"/>
      <c r="N6" s="41"/>
      <c r="O6" s="33">
        <f>W6*O$27/1000000</f>
        <v>8.4938400000000005</v>
      </c>
      <c r="P6" s="34">
        <f>U6</f>
        <v>1350</v>
      </c>
      <c r="T6" s="2" t="s">
        <v>78</v>
      </c>
      <c r="U6" s="24">
        <v>1350</v>
      </c>
      <c r="V6" s="24">
        <v>200</v>
      </c>
      <c r="W6" s="24">
        <v>502</v>
      </c>
    </row>
    <row r="7" spans="2:24" ht="13.5" customHeight="1" x14ac:dyDescent="0.3">
      <c r="B7" s="7" t="s">
        <v>3</v>
      </c>
      <c r="C7" s="17">
        <f t="shared" si="0"/>
        <v>11497.000032</v>
      </c>
      <c r="D7" s="24">
        <v>11497.000032</v>
      </c>
      <c r="E7" s="41"/>
      <c r="F7" s="41"/>
      <c r="G7" s="41"/>
      <c r="H7" s="33"/>
      <c r="I7" s="34">
        <v>89000</v>
      </c>
      <c r="K7" s="49">
        <f>SUM(L7:O7)</f>
        <v>14863.910400000001</v>
      </c>
      <c r="L7" s="33">
        <f>V5*L$27/1000000*0.75</f>
        <v>12072.1104</v>
      </c>
      <c r="M7" s="41"/>
      <c r="N7" s="41"/>
      <c r="O7" s="33">
        <f>W5*O$27/1000000</f>
        <v>2791.8</v>
      </c>
      <c r="P7" s="34">
        <f>U5</f>
        <v>89110</v>
      </c>
      <c r="T7" s="2" t="s">
        <v>77</v>
      </c>
      <c r="U7" s="2">
        <v>100000</v>
      </c>
      <c r="V7" s="24">
        <v>9919800</v>
      </c>
      <c r="W7" s="24">
        <v>210000</v>
      </c>
    </row>
    <row r="8" spans="2:24" ht="13.5" customHeight="1" x14ac:dyDescent="0.3">
      <c r="B8" s="7" t="s">
        <v>4</v>
      </c>
      <c r="C8" s="17">
        <f t="shared" si="0"/>
        <v>705.00024000000008</v>
      </c>
      <c r="D8" s="24">
        <v>705.00024000000008</v>
      </c>
      <c r="E8" s="41"/>
      <c r="F8" s="41"/>
      <c r="G8" s="41"/>
      <c r="H8" s="33"/>
      <c r="I8" s="34"/>
      <c r="K8" s="49"/>
      <c r="L8" s="21"/>
      <c r="M8" s="21"/>
      <c r="N8" s="21"/>
      <c r="O8" s="15"/>
      <c r="P8" s="16"/>
    </row>
    <row r="9" spans="2:24" ht="13.5" customHeight="1" x14ac:dyDescent="0.3">
      <c r="B9" s="7" t="s">
        <v>5</v>
      </c>
      <c r="C9" s="17"/>
      <c r="D9" s="41"/>
      <c r="E9" s="41"/>
      <c r="F9" s="41"/>
      <c r="G9" s="41"/>
      <c r="H9" s="33"/>
      <c r="I9" s="34"/>
      <c r="K9" s="49"/>
      <c r="L9" s="21"/>
      <c r="M9" s="21"/>
      <c r="N9" s="21"/>
      <c r="O9" s="15"/>
      <c r="P9" s="16"/>
    </row>
    <row r="10" spans="2:24" ht="13.5" customHeight="1" thickBot="1" x14ac:dyDescent="0.35">
      <c r="B10" s="46" t="s">
        <v>6</v>
      </c>
      <c r="C10" s="47">
        <f>SUM(D10:H10)</f>
        <v>79449.002567999996</v>
      </c>
      <c r="D10" s="61">
        <f>D5+D6-D7+D8</f>
        <v>78174.503568</v>
      </c>
      <c r="E10" s="61"/>
      <c r="F10" s="61"/>
      <c r="G10" s="61"/>
      <c r="H10" s="66">
        <f>H5</f>
        <v>1274.499</v>
      </c>
      <c r="I10" s="62">
        <v>45000</v>
      </c>
      <c r="K10" s="51">
        <f>SUM(L10:O10)</f>
        <v>101190.58343999999</v>
      </c>
      <c r="L10" s="66">
        <f>L5+L6-L7</f>
        <v>100420.68959999998</v>
      </c>
      <c r="M10" s="53"/>
      <c r="N10" s="53"/>
      <c r="O10" s="66">
        <f>O5+O6-O7</f>
        <v>769.89383999999973</v>
      </c>
      <c r="P10" s="62">
        <f>P5+P6-P7</f>
        <v>12240</v>
      </c>
    </row>
    <row r="11" spans="2:24" ht="13.5" customHeight="1" thickBot="1" x14ac:dyDescent="0.35">
      <c r="B11" s="8" t="s">
        <v>7</v>
      </c>
      <c r="C11" s="19"/>
      <c r="D11" s="38"/>
      <c r="E11" s="38"/>
      <c r="F11" s="38"/>
      <c r="G11" s="38"/>
      <c r="H11" s="39"/>
      <c r="I11" s="40"/>
      <c r="K11" s="55">
        <f>SUM(L11:O11)</f>
        <v>0</v>
      </c>
      <c r="L11" s="67"/>
      <c r="M11" s="67"/>
      <c r="N11" s="68"/>
      <c r="O11" s="39"/>
      <c r="P11" s="40"/>
    </row>
    <row r="12" spans="2:24" ht="13.5" customHeight="1" x14ac:dyDescent="0.3">
      <c r="B12" s="7" t="s">
        <v>8</v>
      </c>
      <c r="C12" s="17">
        <f t="shared" ref="C12:C18" si="1">SUM(D12:H12)</f>
        <v>882.9999863999999</v>
      </c>
      <c r="D12" s="24">
        <v>882.9999863999999</v>
      </c>
      <c r="H12" s="33"/>
      <c r="I12" s="34"/>
      <c r="K12" s="49"/>
      <c r="L12" s="41"/>
      <c r="M12" s="41"/>
      <c r="N12" s="34"/>
      <c r="O12" s="33"/>
      <c r="P12" s="34"/>
      <c r="V12" s="24"/>
      <c r="W12" s="24"/>
      <c r="X12" s="24"/>
    </row>
    <row r="13" spans="2:24" ht="13.5" customHeight="1" x14ac:dyDescent="0.3">
      <c r="B13" s="7" t="s">
        <v>9</v>
      </c>
      <c r="C13" s="17">
        <f>SUM(D13:H13)</f>
        <v>18988.003080000002</v>
      </c>
      <c r="D13" s="24">
        <v>17899.116480000001</v>
      </c>
      <c r="H13" s="33">
        <v>1088.8866</v>
      </c>
      <c r="I13" s="34"/>
      <c r="K13" s="18"/>
      <c r="L13" s="21"/>
      <c r="M13" s="21"/>
      <c r="N13" s="16"/>
      <c r="O13" s="15"/>
      <c r="P13" s="16"/>
      <c r="V13" s="24"/>
      <c r="W13" s="24"/>
      <c r="X13" s="24"/>
    </row>
    <row r="14" spans="2:24" ht="13.5" customHeight="1" x14ac:dyDescent="0.3">
      <c r="B14" s="7" t="s">
        <v>10</v>
      </c>
      <c r="C14" s="17">
        <f t="shared" si="1"/>
        <v>3194.0002079999999</v>
      </c>
      <c r="D14" s="24">
        <v>3194.0002079999999</v>
      </c>
      <c r="H14" s="33"/>
      <c r="I14" s="34"/>
      <c r="K14" s="18"/>
      <c r="L14" s="21"/>
      <c r="M14" s="21"/>
      <c r="N14" s="16"/>
      <c r="O14" s="15"/>
      <c r="P14" s="16"/>
      <c r="U14" s="24"/>
      <c r="V14" s="24"/>
      <c r="W14" s="24"/>
      <c r="X14" s="24"/>
    </row>
    <row r="15" spans="2:24" ht="13.5" customHeight="1" x14ac:dyDescent="0.3">
      <c r="B15" s="7" t="s">
        <v>11</v>
      </c>
      <c r="C15" s="17">
        <f t="shared" si="1"/>
        <v>12412.999872</v>
      </c>
      <c r="D15" s="24">
        <v>12412.999872</v>
      </c>
      <c r="H15" s="33"/>
      <c r="I15" s="34"/>
      <c r="K15" s="18"/>
      <c r="L15" s="21"/>
      <c r="M15" s="21"/>
      <c r="N15" s="16"/>
      <c r="O15" s="15"/>
      <c r="P15" s="16"/>
      <c r="U15" s="24"/>
      <c r="V15" s="24"/>
      <c r="W15" s="24"/>
      <c r="X15" s="24"/>
    </row>
    <row r="16" spans="2:24" ht="13.5" customHeight="1" x14ac:dyDescent="0.3">
      <c r="B16" s="7" t="s">
        <v>34</v>
      </c>
      <c r="C16" s="17"/>
      <c r="H16" s="33"/>
      <c r="I16" s="34"/>
      <c r="K16" s="18"/>
      <c r="L16" s="21"/>
      <c r="M16" s="21"/>
      <c r="N16" s="16"/>
      <c r="O16" s="15"/>
      <c r="P16" s="16"/>
      <c r="U16" s="24"/>
      <c r="V16" s="24"/>
      <c r="W16" s="24"/>
    </row>
    <row r="17" spans="2:23" ht="13.5" customHeight="1" x14ac:dyDescent="0.3">
      <c r="B17" s="7" t="s">
        <v>12</v>
      </c>
      <c r="C17" s="17">
        <f t="shared" si="1"/>
        <v>38.9999988</v>
      </c>
      <c r="D17" s="24">
        <v>38.9999988</v>
      </c>
      <c r="H17" s="33"/>
      <c r="I17" s="34"/>
      <c r="K17" s="18"/>
      <c r="L17" s="21"/>
      <c r="M17" s="21"/>
      <c r="N17" s="16"/>
      <c r="O17" s="15"/>
      <c r="P17" s="16"/>
      <c r="V17" s="24"/>
      <c r="W17" s="24"/>
    </row>
    <row r="18" spans="2:23" ht="13.5" customHeight="1" x14ac:dyDescent="0.3">
      <c r="B18" s="7" t="s">
        <v>13</v>
      </c>
      <c r="C18" s="17">
        <f t="shared" si="1"/>
        <v>255.00000960000003</v>
      </c>
      <c r="D18" s="24">
        <v>255.00000960000003</v>
      </c>
      <c r="H18" s="33"/>
      <c r="I18" s="34"/>
      <c r="K18" s="18"/>
      <c r="L18" s="21"/>
      <c r="M18" s="21"/>
      <c r="N18" s="16"/>
      <c r="O18" s="15"/>
      <c r="P18" s="16"/>
      <c r="U18" s="24"/>
      <c r="V18" s="24"/>
      <c r="W18" s="24"/>
    </row>
    <row r="19" spans="2:23" ht="13.5" customHeight="1" thickBot="1" x14ac:dyDescent="0.35">
      <c r="B19" s="7" t="s">
        <v>14</v>
      </c>
      <c r="C19" s="17"/>
      <c r="H19" s="33"/>
      <c r="I19" s="34"/>
      <c r="K19" s="18"/>
      <c r="L19" s="21"/>
      <c r="M19" s="21"/>
      <c r="N19" s="16"/>
      <c r="O19" s="15"/>
      <c r="P19" s="16"/>
      <c r="V19" s="24"/>
    </row>
    <row r="20" spans="2:23" ht="13.5" customHeight="1" x14ac:dyDescent="0.3">
      <c r="B20" s="9" t="s">
        <v>15</v>
      </c>
      <c r="C20" s="20">
        <f>SUM(D20:H20)</f>
        <v>43676.999639999995</v>
      </c>
      <c r="D20" s="58">
        <f>SUM(D21:D26)</f>
        <v>43491.387239999996</v>
      </c>
      <c r="E20" s="58"/>
      <c r="F20" s="58"/>
      <c r="G20" s="58"/>
      <c r="H20" s="57">
        <f>H25</f>
        <v>185.61240000000001</v>
      </c>
      <c r="I20" s="59">
        <v>45000</v>
      </c>
      <c r="K20" s="56"/>
      <c r="L20" s="58"/>
      <c r="M20" s="58"/>
      <c r="N20" s="58"/>
      <c r="O20" s="57"/>
      <c r="P20" s="59"/>
    </row>
    <row r="21" spans="2:23" ht="13.5" customHeight="1" x14ac:dyDescent="0.3">
      <c r="B21" s="7" t="s">
        <v>16</v>
      </c>
      <c r="C21" s="17">
        <f t="shared" ref="C21" si="2">SUM(D21:H21)</f>
        <v>1602.99972</v>
      </c>
      <c r="D21" s="24">
        <v>1602.99972</v>
      </c>
      <c r="E21" s="41"/>
      <c r="F21" s="41"/>
      <c r="G21" s="41"/>
      <c r="H21" s="33"/>
      <c r="I21" s="34"/>
      <c r="K21" s="49"/>
      <c r="L21" s="41"/>
      <c r="M21" s="41"/>
      <c r="N21" s="41"/>
      <c r="O21" s="33"/>
      <c r="P21" s="34"/>
    </row>
    <row r="22" spans="2:23" ht="13.5" customHeight="1" x14ac:dyDescent="0.3">
      <c r="B22" s="7" t="s">
        <v>17</v>
      </c>
      <c r="C22" s="17"/>
      <c r="E22" s="41"/>
      <c r="F22" s="41"/>
      <c r="G22" s="41"/>
      <c r="H22" s="33"/>
      <c r="I22" s="34"/>
      <c r="K22" s="18"/>
      <c r="L22" s="21"/>
      <c r="M22" s="21"/>
      <c r="N22" s="21"/>
      <c r="O22" s="15"/>
      <c r="P22" s="16"/>
    </row>
    <row r="23" spans="2:23" ht="13.5" customHeight="1" x14ac:dyDescent="0.3">
      <c r="B23" s="7" t="s">
        <v>18</v>
      </c>
      <c r="C23" s="17"/>
      <c r="E23" s="41"/>
      <c r="F23" s="41"/>
      <c r="G23" s="41"/>
      <c r="H23" s="33"/>
      <c r="I23" s="34"/>
      <c r="K23" s="18"/>
      <c r="L23" s="21"/>
      <c r="M23" s="21"/>
      <c r="N23" s="21"/>
      <c r="O23" s="15"/>
      <c r="P23" s="16"/>
    </row>
    <row r="24" spans="2:23" ht="13.5" customHeight="1" x14ac:dyDescent="0.3">
      <c r="B24" s="7" t="s">
        <v>19</v>
      </c>
      <c r="C24" s="17">
        <f t="shared" ref="C24:C26" si="3">SUM(D24:H24)</f>
        <v>1061.00064</v>
      </c>
      <c r="D24" s="24">
        <v>1061.00064</v>
      </c>
      <c r="E24" s="41"/>
      <c r="F24" s="41"/>
      <c r="G24" s="41"/>
      <c r="H24" s="33"/>
      <c r="I24" s="34"/>
      <c r="K24" s="49"/>
      <c r="L24" s="41"/>
      <c r="M24" s="41"/>
      <c r="N24" s="41"/>
      <c r="O24" s="33"/>
      <c r="P24" s="34"/>
    </row>
    <row r="25" spans="2:23" ht="13.5" customHeight="1" x14ac:dyDescent="0.3">
      <c r="B25" s="7" t="s">
        <v>20</v>
      </c>
      <c r="C25" s="17">
        <f t="shared" si="3"/>
        <v>40330.99656</v>
      </c>
      <c r="D25" s="24">
        <v>40145.384160000001</v>
      </c>
      <c r="E25" s="41"/>
      <c r="F25" s="41"/>
      <c r="G25" s="41"/>
      <c r="H25" s="33">
        <v>185.61240000000001</v>
      </c>
      <c r="I25" s="34">
        <v>45000</v>
      </c>
      <c r="K25" s="49"/>
      <c r="L25" s="41"/>
      <c r="M25" s="41"/>
      <c r="N25" s="41"/>
      <c r="O25" s="33"/>
      <c r="P25" s="34"/>
    </row>
    <row r="26" spans="2:23" ht="13.5" customHeight="1" thickBot="1" x14ac:dyDescent="0.35">
      <c r="B26" s="8" t="s">
        <v>21</v>
      </c>
      <c r="C26" s="17">
        <f t="shared" si="3"/>
        <v>682.00272000000007</v>
      </c>
      <c r="D26" s="24">
        <v>682.00272000000007</v>
      </c>
      <c r="E26" s="38"/>
      <c r="F26" s="38"/>
      <c r="G26" s="38"/>
      <c r="H26" s="39"/>
      <c r="I26" s="40"/>
      <c r="K26" s="50"/>
      <c r="L26" s="38"/>
      <c r="M26" s="38"/>
      <c r="N26" s="38"/>
      <c r="O26" s="39"/>
      <c r="P26" s="40"/>
    </row>
    <row r="27" spans="2:23" ht="13.5" customHeight="1" thickBot="1" x14ac:dyDescent="0.35">
      <c r="B27" s="10" t="s">
        <v>22</v>
      </c>
      <c r="C27" s="22"/>
      <c r="D27" s="42">
        <v>15120</v>
      </c>
      <c r="E27" s="42"/>
      <c r="F27" s="42"/>
      <c r="G27" s="42"/>
      <c r="H27" s="43">
        <v>16920</v>
      </c>
      <c r="I27" s="44">
        <v>30800</v>
      </c>
      <c r="L27" s="43">
        <v>15120</v>
      </c>
      <c r="M27" s="42"/>
      <c r="N27" s="42"/>
      <c r="O27" s="43">
        <v>16920</v>
      </c>
      <c r="P27" s="44"/>
    </row>
    <row r="28" spans="2:23" ht="15" customHeight="1" x14ac:dyDescent="0.3"/>
    <row r="29" spans="2:23" x14ac:dyDescent="0.3">
      <c r="G29" s="2"/>
      <c r="H29" s="2"/>
    </row>
    <row r="30" spans="2:23" x14ac:dyDescent="0.3">
      <c r="B30" s="11"/>
      <c r="C30" s="13"/>
      <c r="G30" s="2"/>
      <c r="H30" s="2"/>
    </row>
    <row r="31" spans="2:23" x14ac:dyDescent="0.3">
      <c r="D31" s="12"/>
      <c r="E31" s="12"/>
      <c r="G31" s="2"/>
      <c r="H31" s="2"/>
    </row>
    <row r="32" spans="2:23" x14ac:dyDescent="0.3">
      <c r="G32" s="2"/>
      <c r="H32" s="2"/>
    </row>
    <row r="33" spans="2:8" x14ac:dyDescent="0.3">
      <c r="B33" s="12"/>
      <c r="G33" s="2"/>
      <c r="H33" s="2"/>
    </row>
    <row r="34" spans="2:8" x14ac:dyDescent="0.3">
      <c r="B34" s="12"/>
      <c r="G34" s="2"/>
      <c r="H34" s="2"/>
    </row>
    <row r="35" spans="2:8" x14ac:dyDescent="0.3">
      <c r="B35" s="12"/>
      <c r="G35" s="2"/>
      <c r="H35" s="2"/>
    </row>
    <row r="36" spans="2:8" x14ac:dyDescent="0.3">
      <c r="B36" s="13"/>
      <c r="C36" s="13"/>
      <c r="G36" s="2"/>
      <c r="H36" s="2"/>
    </row>
    <row r="37" spans="2:8" x14ac:dyDescent="0.3">
      <c r="B37" s="12"/>
      <c r="G37" s="2"/>
      <c r="H37" s="2"/>
    </row>
    <row r="38" spans="2:8" x14ac:dyDescent="0.3">
      <c r="B38" s="6"/>
      <c r="C38" s="6"/>
      <c r="G38" s="2"/>
      <c r="H38" s="2"/>
    </row>
    <row r="39" spans="2:8" x14ac:dyDescent="0.3">
      <c r="B39" s="6"/>
      <c r="C39" s="6"/>
      <c r="G39" s="2"/>
      <c r="H39" s="2"/>
    </row>
    <row r="40" spans="2:8" x14ac:dyDescent="0.3">
      <c r="B40" s="6"/>
      <c r="C40" s="6"/>
      <c r="G40" s="2"/>
      <c r="H40" s="2"/>
    </row>
    <row r="41" spans="2:8" x14ac:dyDescent="0.3">
      <c r="B41" s="6"/>
      <c r="C41" s="6"/>
      <c r="G41" s="2"/>
      <c r="H41" s="2"/>
    </row>
    <row r="42" spans="2:8" x14ac:dyDescent="0.3">
      <c r="B42" s="6"/>
      <c r="C42" s="6"/>
      <c r="G42" s="2"/>
      <c r="H42" s="2"/>
    </row>
    <row r="43" spans="2:8" x14ac:dyDescent="0.3">
      <c r="B43" s="12"/>
      <c r="G43" s="2"/>
      <c r="H43" s="2"/>
    </row>
    <row r="44" spans="2:8" x14ac:dyDescent="0.3">
      <c r="B44" s="12"/>
      <c r="G44" s="2"/>
      <c r="H44" s="2"/>
    </row>
    <row r="45" spans="2:8" x14ac:dyDescent="0.3">
      <c r="B45" s="12"/>
      <c r="G45" s="2"/>
      <c r="H45" s="2"/>
    </row>
    <row r="46" spans="2:8" x14ac:dyDescent="0.3">
      <c r="B46" s="13"/>
      <c r="C46" s="13"/>
      <c r="G46" s="2"/>
      <c r="H46" s="2"/>
    </row>
    <row r="47" spans="2:8" x14ac:dyDescent="0.3">
      <c r="B47" s="14"/>
      <c r="C47" s="14"/>
      <c r="G47" s="2"/>
      <c r="H47" s="2"/>
    </row>
    <row r="48" spans="2:8" x14ac:dyDescent="0.3">
      <c r="B48" s="14"/>
      <c r="C48" s="14"/>
      <c r="G48" s="2"/>
      <c r="H48" s="2"/>
    </row>
    <row r="49" spans="2:8" x14ac:dyDescent="0.3">
      <c r="B49" s="14"/>
      <c r="C49" s="14"/>
      <c r="G49" s="2"/>
      <c r="H49" s="2"/>
    </row>
    <row r="50" spans="2:8" x14ac:dyDescent="0.3">
      <c r="B50" s="14"/>
      <c r="C50" s="14"/>
      <c r="G50" s="2"/>
      <c r="H50" s="2"/>
    </row>
    <row r="51" spans="2:8" x14ac:dyDescent="0.3">
      <c r="B51" s="14"/>
      <c r="C51" s="14"/>
      <c r="G51" s="2"/>
      <c r="H51" s="2"/>
    </row>
    <row r="52" spans="2:8" x14ac:dyDescent="0.3">
      <c r="B52" s="14"/>
      <c r="C52" s="14"/>
      <c r="G52" s="2"/>
      <c r="H52" s="2"/>
    </row>
    <row r="53" spans="2:8" x14ac:dyDescent="0.3">
      <c r="B53" s="14"/>
      <c r="C53" s="14"/>
      <c r="G53" s="2"/>
      <c r="H53" s="2"/>
    </row>
    <row r="54" spans="2:8" x14ac:dyDescent="0.3">
      <c r="B54" s="12"/>
    </row>
  </sheetData>
  <mergeCells count="2">
    <mergeCell ref="C2:I2"/>
    <mergeCell ref="K2:P2"/>
  </mergeCells>
  <printOptions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4"/>
  <sheetViews>
    <sheetView topLeftCell="H1" zoomScale="70" zoomScaleNormal="70" workbookViewId="0">
      <selection activeCell="T4" sqref="T4:Y4"/>
    </sheetView>
  </sheetViews>
  <sheetFormatPr defaultRowHeight="13" x14ac:dyDescent="0.3"/>
  <cols>
    <col min="1" max="1" width="3.26953125" style="2" customWidth="1"/>
    <col min="2" max="2" width="14.90625" style="1" customWidth="1"/>
    <col min="3" max="3" width="6.6328125" style="12" customWidth="1"/>
    <col min="4" max="8" width="6.6328125" style="24" customWidth="1"/>
    <col min="9" max="9" width="1.6328125" style="24" customWidth="1"/>
    <col min="10" max="10" width="6.6328125" style="24" customWidth="1"/>
    <col min="11" max="14" width="6.6328125" style="2" customWidth="1"/>
    <col min="15" max="15" width="1.6328125" style="2" customWidth="1"/>
    <col min="16" max="17" width="6.6328125" style="136" customWidth="1"/>
    <col min="18" max="18" width="3.26953125" style="2" customWidth="1"/>
    <col min="19" max="19" width="2.90625" style="2" customWidth="1"/>
    <col min="20" max="40" width="8.08984375" style="2" customWidth="1"/>
    <col min="41" max="16384" width="8.7265625" style="2"/>
  </cols>
  <sheetData>
    <row r="1" spans="1:46" ht="13.5" customHeight="1" thickBot="1" x14ac:dyDescent="0.35">
      <c r="A1" s="121"/>
      <c r="B1" s="119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30"/>
      <c r="Q1" s="130"/>
      <c r="R1" s="121"/>
    </row>
    <row r="2" spans="1:46" ht="13.5" customHeight="1" thickBot="1" x14ac:dyDescent="0.35">
      <c r="A2" s="121"/>
      <c r="B2" s="119"/>
      <c r="C2" s="214" t="s">
        <v>90</v>
      </c>
      <c r="D2" s="215"/>
      <c r="E2" s="215"/>
      <c r="F2" s="215"/>
      <c r="G2" s="215"/>
      <c r="H2" s="216"/>
      <c r="I2" s="120"/>
      <c r="J2" s="214" t="s">
        <v>92</v>
      </c>
      <c r="K2" s="215"/>
      <c r="L2" s="215"/>
      <c r="M2" s="215"/>
      <c r="N2" s="216"/>
      <c r="O2" s="120"/>
      <c r="P2" s="130"/>
      <c r="Q2" s="130"/>
      <c r="R2" s="121"/>
      <c r="T2" s="2" t="s">
        <v>97</v>
      </c>
      <c r="AA2" s="2" t="s">
        <v>98</v>
      </c>
      <c r="AH2" s="2" t="s">
        <v>99</v>
      </c>
      <c r="AO2" s="2" t="s">
        <v>100</v>
      </c>
    </row>
    <row r="3" spans="1:46" ht="13.5" customHeight="1" thickBot="1" x14ac:dyDescent="0.35">
      <c r="A3" s="121"/>
      <c r="B3" s="120"/>
      <c r="C3" s="89" t="s">
        <v>84</v>
      </c>
      <c r="D3" s="90" t="s">
        <v>85</v>
      </c>
      <c r="E3" s="90" t="s">
        <v>86</v>
      </c>
      <c r="F3" s="90" t="s">
        <v>87</v>
      </c>
      <c r="G3" s="90" t="s">
        <v>88</v>
      </c>
      <c r="H3" s="91" t="s">
        <v>89</v>
      </c>
      <c r="I3" s="120"/>
      <c r="J3" s="86" t="s">
        <v>84</v>
      </c>
      <c r="K3" s="87" t="s">
        <v>85</v>
      </c>
      <c r="L3" s="87" t="s">
        <v>86</v>
      </c>
      <c r="M3" s="87" t="s">
        <v>88</v>
      </c>
      <c r="N3" s="88" t="s">
        <v>89</v>
      </c>
      <c r="O3" s="121"/>
      <c r="P3" s="117" t="s">
        <v>93</v>
      </c>
      <c r="Q3" s="118" t="s">
        <v>94</v>
      </c>
      <c r="R3" s="121"/>
      <c r="AI3" s="2" t="s">
        <v>95</v>
      </c>
      <c r="AJ3" s="2" t="s">
        <v>45</v>
      </c>
      <c r="AK3" s="2" t="s">
        <v>40</v>
      </c>
      <c r="AL3" s="2" t="s">
        <v>76</v>
      </c>
      <c r="AP3" s="2" t="s">
        <v>95</v>
      </c>
      <c r="AQ3" s="2" t="s">
        <v>45</v>
      </c>
      <c r="AR3" s="2" t="s">
        <v>40</v>
      </c>
      <c r="AS3" s="2" t="s">
        <v>76</v>
      </c>
    </row>
    <row r="4" spans="1:46" x14ac:dyDescent="0.3">
      <c r="A4" s="121"/>
      <c r="B4" s="92" t="s">
        <v>36</v>
      </c>
      <c r="C4" s="93" t="s">
        <v>91</v>
      </c>
      <c r="D4" s="94"/>
      <c r="E4" s="93" t="s">
        <v>91</v>
      </c>
      <c r="F4" s="93" t="s">
        <v>91</v>
      </c>
      <c r="G4" s="93" t="s">
        <v>91</v>
      </c>
      <c r="H4" s="95" t="s">
        <v>91</v>
      </c>
      <c r="I4" s="120"/>
      <c r="J4" s="106" t="s">
        <v>91</v>
      </c>
      <c r="K4" s="197"/>
      <c r="L4" s="197"/>
      <c r="M4" s="107" t="s">
        <v>91</v>
      </c>
      <c r="N4" s="108" t="s">
        <v>91</v>
      </c>
      <c r="O4" s="120"/>
      <c r="P4" s="131">
        <v>4</v>
      </c>
      <c r="Q4" s="132">
        <v>3</v>
      </c>
      <c r="R4" s="121"/>
      <c r="T4" s="2" t="s">
        <v>52</v>
      </c>
      <c r="U4" s="195">
        <f ca="1">INDIRECT("'"&amp;T4&amp;"'!"&amp;"$d$5")</f>
        <v>88966.503360000002</v>
      </c>
      <c r="W4" s="24">
        <f ca="1">INDIRECT("'"&amp;T4&amp;"'!"&amp;"$m$5")</f>
        <v>482431.33927284385</v>
      </c>
      <c r="Y4" s="24">
        <f t="shared" ref="Y4:Y28" ca="1" si="0">MAX(U4:X4)</f>
        <v>482431.33927284385</v>
      </c>
      <c r="AA4" s="2" t="s">
        <v>37</v>
      </c>
      <c r="AB4" s="195">
        <f ca="1">INDIRECT("'"&amp;AA4&amp;"'!"&amp;"$i$5")</f>
        <v>39541</v>
      </c>
      <c r="AD4" s="24">
        <f ca="1">INDIRECT("'"&amp;AA4&amp;"'!"&amp;"$q$5")</f>
        <v>42436.9</v>
      </c>
      <c r="AF4" s="24">
        <f t="shared" ref="AF4:AF28" ca="1" si="1">MAX(AB4:AE4)</f>
        <v>42436.9</v>
      </c>
      <c r="AH4" s="2" t="s">
        <v>37</v>
      </c>
      <c r="AI4" s="195">
        <f ca="1">INDIRECT("'"&amp;AH4&amp;"'!"&amp;"$j$10")</f>
        <v>0</v>
      </c>
      <c r="AK4" s="24">
        <f ca="1">INDIRECT("'"&amp;AH4&amp;"'!"&amp;"$r$10")</f>
        <v>1294173</v>
      </c>
      <c r="AM4" s="24">
        <f t="shared" ref="AM4:AM28" ca="1" si="2">MAX(AI4:AL4)</f>
        <v>1294173</v>
      </c>
      <c r="AO4" s="2" t="s">
        <v>37</v>
      </c>
      <c r="AP4" s="195">
        <f ca="1">INDIRECT("'"&amp;AO4&amp;"'!"&amp;"$e$5")</f>
        <v>191861</v>
      </c>
      <c r="AR4" s="24">
        <f ca="1">INDIRECT("'"&amp;AO4&amp;"'!"&amp;"$p$5")</f>
        <v>244353.06000000003</v>
      </c>
      <c r="AT4" s="24">
        <f t="shared" ref="AT4:AT28" ca="1" si="3">MAX(AP4:AS4)</f>
        <v>244353.06000000003</v>
      </c>
    </row>
    <row r="5" spans="1:46" x14ac:dyDescent="0.3">
      <c r="A5" s="121"/>
      <c r="B5" s="96" t="s">
        <v>37</v>
      </c>
      <c r="C5" s="78" t="s">
        <v>91</v>
      </c>
      <c r="D5" s="79"/>
      <c r="E5" s="78" t="s">
        <v>91</v>
      </c>
      <c r="F5" s="80"/>
      <c r="G5" s="78" t="s">
        <v>91</v>
      </c>
      <c r="H5" s="97"/>
      <c r="I5" s="120"/>
      <c r="J5" s="109" t="s">
        <v>91</v>
      </c>
      <c r="K5" s="77" t="s">
        <v>91</v>
      </c>
      <c r="L5" s="77" t="s">
        <v>91</v>
      </c>
      <c r="M5" s="77" t="s">
        <v>91</v>
      </c>
      <c r="N5" s="110" t="s">
        <v>91</v>
      </c>
      <c r="O5" s="120"/>
      <c r="P5" s="133">
        <v>3</v>
      </c>
      <c r="Q5" s="134">
        <v>5</v>
      </c>
      <c r="R5" s="121"/>
      <c r="T5" s="2" t="s">
        <v>37</v>
      </c>
      <c r="U5" s="195">
        <f ca="1">INDIRECT("'"&amp;T5&amp;"'!"&amp;"$d$5")</f>
        <v>88966.503360000002</v>
      </c>
      <c r="W5" s="24">
        <f ca="1">INDIRECT("'"&amp;T5&amp;"'!"&amp;"$m$5")</f>
        <v>318362.40713188</v>
      </c>
      <c r="Y5" s="24">
        <f t="shared" ca="1" si="0"/>
        <v>318362.40713188</v>
      </c>
      <c r="AA5" s="2" t="s">
        <v>52</v>
      </c>
      <c r="AB5" s="195">
        <f ca="1">INDIRECT("'"&amp;AA5&amp;"'!"&amp;"$i$5")</f>
        <v>35280</v>
      </c>
      <c r="AD5" s="24">
        <f ca="1">INDIRECT("'"&amp;AA5&amp;"'!"&amp;"$q$5")</f>
        <v>38190.061399999999</v>
      </c>
      <c r="AF5" s="24">
        <f t="shared" ca="1" si="1"/>
        <v>38190.061399999999</v>
      </c>
      <c r="AH5" s="2" t="s">
        <v>52</v>
      </c>
      <c r="AI5" s="195">
        <f ca="1">INDIRECT("'"&amp;AH5&amp;"'!"&amp;"$j$10")</f>
        <v>0</v>
      </c>
      <c r="AK5" s="24">
        <f ca="1">INDIRECT("'"&amp;AH5&amp;"'!"&amp;"$r$10")</f>
        <v>207898.70078635178</v>
      </c>
      <c r="AM5" s="24">
        <f t="shared" ca="1" si="2"/>
        <v>207898.70078635178</v>
      </c>
      <c r="AO5" s="2" t="s">
        <v>44</v>
      </c>
      <c r="AQ5" s="194">
        <f ca="1">INDIRECT("'"&amp;AO5&amp;"'!"&amp;"$f$5")</f>
        <v>0</v>
      </c>
      <c r="AR5" s="24">
        <f ca="1">INDIRECT("'"&amp;AO5&amp;"'!"&amp;"$n$5")</f>
        <v>157768.98310115191</v>
      </c>
      <c r="AT5" s="24">
        <f t="shared" ca="1" si="3"/>
        <v>157768.98310115191</v>
      </c>
    </row>
    <row r="6" spans="1:46" x14ac:dyDescent="0.3">
      <c r="A6" s="121"/>
      <c r="B6" s="96" t="s">
        <v>52</v>
      </c>
      <c r="C6" s="78" t="s">
        <v>91</v>
      </c>
      <c r="D6" s="79"/>
      <c r="E6" s="78" t="s">
        <v>91</v>
      </c>
      <c r="F6" s="78" t="s">
        <v>91</v>
      </c>
      <c r="G6" s="78" t="s">
        <v>91</v>
      </c>
      <c r="H6" s="97"/>
      <c r="I6" s="120"/>
      <c r="J6" s="109" t="s">
        <v>91</v>
      </c>
      <c r="K6" s="77" t="s">
        <v>91</v>
      </c>
      <c r="L6" s="77" t="s">
        <v>91</v>
      </c>
      <c r="M6" s="77" t="s">
        <v>91</v>
      </c>
      <c r="N6" s="110" t="s">
        <v>91</v>
      </c>
      <c r="O6" s="120"/>
      <c r="P6" s="133">
        <v>3</v>
      </c>
      <c r="Q6" s="134">
        <v>5</v>
      </c>
      <c r="R6" s="121"/>
      <c r="T6" s="2" t="s">
        <v>44</v>
      </c>
      <c r="V6" s="194">
        <f ca="1">INDIRECT("'"&amp;T6&amp;"'!"&amp;"$d$5")+INDIRECT("'"&amp;T6&amp;"'!"&amp;"$e$5")+INDIRECT("'"&amp;T6&amp;"'!"&amp;"$h$5")</f>
        <v>88966.503360000002</v>
      </c>
      <c r="W6" s="24">
        <f ca="1">INDIRECT("'"&amp;T6&amp;"'!"&amp;"$l$5")+INDIRECT("'"&amp;T6&amp;"'!"&amp;"$m$5")+INDIRECT("'"&amp;T6&amp;"'!"&amp;"$o$5")</f>
        <v>172544.91316822689</v>
      </c>
      <c r="Y6" s="24">
        <f t="shared" ca="1" si="0"/>
        <v>172544.91316822689</v>
      </c>
      <c r="AA6" s="2" t="s">
        <v>69</v>
      </c>
      <c r="AC6" s="194">
        <f ca="1">INDIRECT("'"&amp;AA6&amp;"'!"&amp;"$h$5")</f>
        <v>21184.316999999999</v>
      </c>
      <c r="AE6" s="196">
        <f ca="1">INDIRECT("'"&amp;AA6&amp;"'!"&amp;"$o$5")</f>
        <v>18495.624240000001</v>
      </c>
      <c r="AF6" s="24">
        <f t="shared" ca="1" si="1"/>
        <v>21184.316999999999</v>
      </c>
      <c r="AH6" s="2" t="s">
        <v>66</v>
      </c>
      <c r="AJ6" s="194">
        <f ca="1">INDIRECT("'"&amp;AH6&amp;"'!"&amp;"$i$10")</f>
        <v>0</v>
      </c>
      <c r="AL6" s="196">
        <f ca="1">INDIRECT("'"&amp;AH6&amp;"'!"&amp;"$p$10")</f>
        <v>72931</v>
      </c>
      <c r="AM6" s="24">
        <f t="shared" ca="1" si="2"/>
        <v>72931</v>
      </c>
      <c r="AO6" s="2" t="s">
        <v>52</v>
      </c>
      <c r="AP6" s="195">
        <f ca="1">INDIRECT("'"&amp;AO6&amp;"'!"&amp;"$e$5")</f>
        <v>33674</v>
      </c>
      <c r="AR6" s="24">
        <f ca="1">INDIRECT("'"&amp;AO6&amp;"'!"&amp;"$p$5")</f>
        <v>43070.483950401605</v>
      </c>
      <c r="AT6" s="24">
        <f t="shared" ca="1" si="3"/>
        <v>43070.483950401605</v>
      </c>
    </row>
    <row r="7" spans="1:46" x14ac:dyDescent="0.3">
      <c r="A7" s="121"/>
      <c r="B7" s="96" t="s">
        <v>46</v>
      </c>
      <c r="C7" s="78" t="s">
        <v>91</v>
      </c>
      <c r="D7" s="79"/>
      <c r="E7" s="78" t="s">
        <v>91</v>
      </c>
      <c r="F7" s="78" t="s">
        <v>91</v>
      </c>
      <c r="G7" s="78" t="s">
        <v>91</v>
      </c>
      <c r="H7" s="97"/>
      <c r="I7" s="120"/>
      <c r="J7" s="109" t="s">
        <v>91</v>
      </c>
      <c r="K7" s="84"/>
      <c r="L7" s="84"/>
      <c r="M7" s="77" t="s">
        <v>91</v>
      </c>
      <c r="N7" s="110" t="s">
        <v>91</v>
      </c>
      <c r="O7" s="120"/>
      <c r="P7" s="133">
        <v>3</v>
      </c>
      <c r="Q7" s="134">
        <v>3</v>
      </c>
      <c r="R7" s="121"/>
      <c r="T7" s="2" t="s">
        <v>53</v>
      </c>
      <c r="U7" s="195">
        <f ca="1">INDIRECT("'"&amp;T7&amp;"'!"&amp;"$d$5")</f>
        <v>88966.503360000002</v>
      </c>
      <c r="X7" s="196">
        <f ca="1">INDIRECT("'"&amp;T7&amp;"'!"&amp;"$m$5")</f>
        <v>50744.882880000005</v>
      </c>
      <c r="Y7" s="24">
        <f t="shared" ca="1" si="0"/>
        <v>88966.503360000002</v>
      </c>
      <c r="AA7" s="2" t="s">
        <v>54</v>
      </c>
      <c r="AC7" s="194">
        <f ca="1">INDIRECT("'"&amp;AA7&amp;"'!"&amp;"$h$5")</f>
        <v>18972.415975</v>
      </c>
      <c r="AE7" s="196">
        <f ca="1">INDIRECT("'"&amp;AA7&amp;"'!"&amp;"$o$5")</f>
        <v>13739.04</v>
      </c>
      <c r="AF7" s="24">
        <f t="shared" ca="1" si="1"/>
        <v>18972.415975</v>
      </c>
      <c r="AH7" s="2" t="s">
        <v>53</v>
      </c>
      <c r="AI7" s="195">
        <f ca="1">INDIRECT("'"&amp;AH7&amp;"'!"&amp;"$j$10")</f>
        <v>66000</v>
      </c>
      <c r="AL7" s="196">
        <f ca="1">INDIRECT("'"&amp;AH7&amp;"'!"&amp;"$r$10")</f>
        <v>66112</v>
      </c>
      <c r="AM7" s="24">
        <f t="shared" ca="1" si="2"/>
        <v>66112</v>
      </c>
      <c r="AO7" s="2" t="s">
        <v>54</v>
      </c>
      <c r="AQ7" s="194">
        <f ca="1">INDIRECT("'"&amp;AO7&amp;"'!"&amp;"$f$5")</f>
        <v>41266.532476259992</v>
      </c>
      <c r="AS7" s="196">
        <f ca="1">INDIRECT("'"&amp;AO7&amp;"'!"&amp;"$n$5")</f>
        <v>0</v>
      </c>
      <c r="AT7" s="24">
        <f t="shared" ca="1" si="3"/>
        <v>41266.532476259992</v>
      </c>
    </row>
    <row r="8" spans="1:46" x14ac:dyDescent="0.3">
      <c r="A8" s="121"/>
      <c r="B8" s="96" t="s">
        <v>53</v>
      </c>
      <c r="C8" s="78" t="s">
        <v>91</v>
      </c>
      <c r="D8" s="79"/>
      <c r="E8" s="78"/>
      <c r="F8" s="78" t="s">
        <v>91</v>
      </c>
      <c r="G8" s="78" t="s">
        <v>91</v>
      </c>
      <c r="H8" s="97"/>
      <c r="I8" s="120"/>
      <c r="J8" s="111" t="s">
        <v>91</v>
      </c>
      <c r="K8" s="198"/>
      <c r="L8" s="198"/>
      <c r="M8" s="83" t="s">
        <v>91</v>
      </c>
      <c r="N8" s="112" t="s">
        <v>91</v>
      </c>
      <c r="O8" s="120"/>
      <c r="P8" s="133">
        <v>2</v>
      </c>
      <c r="Q8" s="134">
        <v>3</v>
      </c>
      <c r="R8" s="121"/>
      <c r="T8" s="2" t="s">
        <v>66</v>
      </c>
      <c r="V8" s="194">
        <f ca="1">INDIRECT("'"&amp;T8&amp;"'!"&amp;"$d$5")+INDIRECT("'"&amp;T8&amp;"'!"&amp;"$e$5")+INDIRECT("'"&amp;T8&amp;"'!"&amp;"$h$5")</f>
        <v>89554.505040000004</v>
      </c>
      <c r="X8" s="196">
        <f ca="1">INDIRECT("'"&amp;T8&amp;"'!"&amp;"$l$5")+INDIRECT("'"&amp;T8&amp;"'!"&amp;"$m$5")+INDIRECT("'"&amp;T8&amp;"'!"&amp;"$o$5")</f>
        <v>46448.639999999999</v>
      </c>
      <c r="Y8" s="24">
        <f t="shared" ca="1" si="0"/>
        <v>89554.505040000004</v>
      </c>
      <c r="AA8" s="2" t="s">
        <v>42</v>
      </c>
      <c r="AC8" s="194">
        <f ca="1">INDIRECT("'"&amp;AA8&amp;"'!"&amp;"$h$5")</f>
        <v>16626.875282999998</v>
      </c>
      <c r="AD8" s="24">
        <f ca="1">INDIRECT("'"&amp;AA8&amp;"'!"&amp;"$o$5")</f>
        <v>16642.600000000002</v>
      </c>
      <c r="AF8" s="24">
        <f t="shared" ca="1" si="1"/>
        <v>16642.600000000002</v>
      </c>
      <c r="AH8" s="2" t="s">
        <v>54</v>
      </c>
      <c r="AJ8" s="194">
        <f ca="1">INDIRECT("'"&amp;AH8&amp;"'!"&amp;"$i$10")</f>
        <v>47220</v>
      </c>
      <c r="AL8" s="196">
        <f ca="1">INDIRECT("'"&amp;AH8&amp;"'!"&amp;"$p$10")</f>
        <v>42896</v>
      </c>
      <c r="AM8" s="24">
        <f t="shared" ca="1" si="2"/>
        <v>47220</v>
      </c>
      <c r="AO8" s="2" t="s">
        <v>42</v>
      </c>
      <c r="AQ8" s="194">
        <f ca="1">INDIRECT("'"&amp;AO8&amp;"'!"&amp;"$f$5")</f>
        <v>29094.853880537645</v>
      </c>
      <c r="AR8" s="24">
        <f ca="1">INDIRECT("'"&amp;AO8&amp;"'!"&amp;"$n$5")</f>
        <v>18417.663086289693</v>
      </c>
      <c r="AT8" s="24">
        <f t="shared" ca="1" si="3"/>
        <v>29094.853880537645</v>
      </c>
    </row>
    <row r="9" spans="1:46" x14ac:dyDescent="0.3">
      <c r="A9" s="121"/>
      <c r="B9" s="96" t="s">
        <v>49</v>
      </c>
      <c r="C9" s="78" t="s">
        <v>91</v>
      </c>
      <c r="D9" s="79"/>
      <c r="E9" s="80"/>
      <c r="F9" s="78" t="s">
        <v>91</v>
      </c>
      <c r="G9" s="78" t="s">
        <v>91</v>
      </c>
      <c r="H9" s="98" t="s">
        <v>91</v>
      </c>
      <c r="I9" s="120"/>
      <c r="J9" s="109" t="s">
        <v>91</v>
      </c>
      <c r="K9" s="77" t="s">
        <v>91</v>
      </c>
      <c r="L9" s="77"/>
      <c r="M9" s="77" t="s">
        <v>91</v>
      </c>
      <c r="N9" s="110" t="s">
        <v>91</v>
      </c>
      <c r="O9" s="120"/>
      <c r="P9" s="133">
        <v>3</v>
      </c>
      <c r="Q9" s="134">
        <v>4</v>
      </c>
      <c r="R9" s="121"/>
      <c r="T9" s="2" t="s">
        <v>83</v>
      </c>
      <c r="V9" s="194">
        <f ca="1">INDIRECT("'"&amp;T9&amp;"'!"&amp;"$d$5")+INDIRECT("'"&amp;T9&amp;"'!"&amp;"$e$5")+INDIRECT("'"&amp;T9&amp;"'!"&amp;"$h$5")</f>
        <v>88966.503360000002</v>
      </c>
      <c r="X9" s="196">
        <f ca="1">INDIRECT("'"&amp;T9&amp;"'!"&amp;"$l$5")+INDIRECT("'"&amp;T9&amp;"'!"&amp;"$m$5")+INDIRECT("'"&amp;T9&amp;"'!"&amp;"$o$5")</f>
        <v>171247.71419999999</v>
      </c>
      <c r="Y9" s="24">
        <f t="shared" ca="1" si="0"/>
        <v>171247.71419999999</v>
      </c>
      <c r="AA9" s="2" t="s">
        <v>83</v>
      </c>
      <c r="AC9" s="194">
        <f ca="1">INDIRECT("'"&amp;AA9&amp;"'!"&amp;"$h$5")</f>
        <v>0</v>
      </c>
      <c r="AE9" s="196">
        <f ca="1">INDIRECT("'"&amp;AA9&amp;"'!"&amp;"$o$5")</f>
        <v>11556.36</v>
      </c>
      <c r="AF9" s="24">
        <f t="shared" ca="1" si="1"/>
        <v>11556.36</v>
      </c>
      <c r="AH9" s="2" t="s">
        <v>83</v>
      </c>
      <c r="AJ9" s="194">
        <f ca="1">INDIRECT("'"&amp;AH9&amp;"'!"&amp;"$i$10")</f>
        <v>0</v>
      </c>
      <c r="AL9" s="196">
        <f ca="1">INDIRECT("'"&amp;AH9&amp;"'!"&amp;"$p$10")</f>
        <v>45778</v>
      </c>
      <c r="AM9" s="24">
        <f t="shared" ca="1" si="2"/>
        <v>45778</v>
      </c>
      <c r="AO9" s="2" t="s">
        <v>56</v>
      </c>
      <c r="AP9" s="195">
        <f ca="1">INDIRECT("'"&amp;AO9&amp;"'!"&amp;"$e$5")</f>
        <v>20532</v>
      </c>
      <c r="AS9" s="196">
        <f ca="1">INDIRECT("'"&amp;AO9&amp;"'!"&amp;"$p$5")</f>
        <v>0</v>
      </c>
      <c r="AT9" s="24">
        <f t="shared" ca="1" si="3"/>
        <v>20532</v>
      </c>
    </row>
    <row r="10" spans="1:46" x14ac:dyDescent="0.3">
      <c r="A10" s="121"/>
      <c r="B10" s="96" t="s">
        <v>56</v>
      </c>
      <c r="C10" s="78" t="s">
        <v>91</v>
      </c>
      <c r="D10" s="79"/>
      <c r="E10" s="78" t="s">
        <v>91</v>
      </c>
      <c r="F10" s="78" t="s">
        <v>91</v>
      </c>
      <c r="G10" s="78" t="s">
        <v>91</v>
      </c>
      <c r="H10" s="98" t="s">
        <v>91</v>
      </c>
      <c r="I10" s="120"/>
      <c r="J10" s="111" t="s">
        <v>91</v>
      </c>
      <c r="K10" s="198"/>
      <c r="L10" s="198"/>
      <c r="M10" s="83" t="s">
        <v>91</v>
      </c>
      <c r="N10" s="112" t="s">
        <v>91</v>
      </c>
      <c r="O10" s="120"/>
      <c r="P10" s="133">
        <v>4</v>
      </c>
      <c r="Q10" s="134">
        <v>3</v>
      </c>
      <c r="R10" s="121"/>
      <c r="T10" s="2" t="s">
        <v>42</v>
      </c>
      <c r="V10" s="194">
        <f ca="1">INDIRECT("'"&amp;T10&amp;"'!"&amp;"$d$5")+INDIRECT("'"&amp;T10&amp;"'!"&amp;"$e$5")+INDIRECT("'"&amp;T10&amp;"'!"&amp;"$h$5")</f>
        <v>193180.89721220999</v>
      </c>
      <c r="W10" s="24">
        <f ca="1">INDIRECT("'"&amp;T10&amp;"'!"&amp;"$l$5")+INDIRECT("'"&amp;T10&amp;"'!"&amp;"$m$5")+INDIRECT("'"&amp;T10&amp;"'!"&amp;"$o$5")</f>
        <v>164160.79223092319</v>
      </c>
      <c r="Y10" s="24">
        <f t="shared" ca="1" si="0"/>
        <v>193180.89721220999</v>
      </c>
      <c r="AA10" s="2" t="s">
        <v>53</v>
      </c>
      <c r="AB10" s="195">
        <f ca="1">INDIRECT("'"&amp;AA10&amp;"'!"&amp;"$i$5")</f>
        <v>0</v>
      </c>
      <c r="AE10" s="196">
        <f ca="1">INDIRECT("'"&amp;AA10&amp;"'!"&amp;"$q$5")</f>
        <v>6768</v>
      </c>
      <c r="AF10" s="24">
        <f t="shared" ca="1" si="1"/>
        <v>6768</v>
      </c>
      <c r="AH10" s="2" t="s">
        <v>75</v>
      </c>
      <c r="AJ10" s="194">
        <f ca="1">INDIRECT("'"&amp;AH10&amp;"'!"&amp;"$i$10")</f>
        <v>45000</v>
      </c>
      <c r="AL10" s="196">
        <f ca="1">INDIRECT("'"&amp;AH10&amp;"'!"&amp;"$p$10")</f>
        <v>12240</v>
      </c>
      <c r="AM10" s="24">
        <f t="shared" ca="1" si="2"/>
        <v>45000</v>
      </c>
      <c r="AO10" s="2" t="s">
        <v>50</v>
      </c>
      <c r="AQ10" s="194">
        <f ca="1">INDIRECT("'"&amp;AO10&amp;"'!"&amp;"$f$5")</f>
        <v>14218</v>
      </c>
      <c r="AR10" s="24">
        <f ca="1">INDIRECT("'"&amp;AO10&amp;"'!"&amp;"$o$5")</f>
        <v>14217.699999999999</v>
      </c>
      <c r="AT10" s="24">
        <f t="shared" ca="1" si="3"/>
        <v>14218</v>
      </c>
    </row>
    <row r="11" spans="1:46" x14ac:dyDescent="0.3">
      <c r="A11" s="121"/>
      <c r="B11" s="99" t="s">
        <v>42</v>
      </c>
      <c r="C11" s="81" t="s">
        <v>91</v>
      </c>
      <c r="D11" s="81" t="s">
        <v>91</v>
      </c>
      <c r="E11" s="81" t="s">
        <v>91</v>
      </c>
      <c r="F11" s="81" t="s">
        <v>91</v>
      </c>
      <c r="G11" s="81" t="s">
        <v>91</v>
      </c>
      <c r="H11" s="100" t="s">
        <v>91</v>
      </c>
      <c r="I11" s="120"/>
      <c r="J11" s="109" t="s">
        <v>91</v>
      </c>
      <c r="K11" s="77" t="s">
        <v>91</v>
      </c>
      <c r="L11" s="77" t="s">
        <v>91</v>
      </c>
      <c r="M11" s="77" t="s">
        <v>91</v>
      </c>
      <c r="N11" s="110" t="s">
        <v>91</v>
      </c>
      <c r="O11" s="120"/>
      <c r="P11" s="109">
        <v>5</v>
      </c>
      <c r="Q11" s="110">
        <v>5</v>
      </c>
      <c r="R11" s="121"/>
      <c r="T11" s="2" t="s">
        <v>56</v>
      </c>
      <c r="U11" s="195">
        <f ca="1">INDIRECT("'"&amp;T11&amp;"'!"&amp;"$d$5")</f>
        <v>88966.503360000002</v>
      </c>
      <c r="X11" s="196">
        <f ca="1">INDIRECT("'"&amp;T11&amp;"'!"&amp;"$m$5")</f>
        <v>44874.899999999994</v>
      </c>
      <c r="Y11" s="24">
        <f t="shared" ca="1" si="0"/>
        <v>88966.503360000002</v>
      </c>
      <c r="AA11" s="2" t="s">
        <v>36</v>
      </c>
      <c r="AB11" s="195">
        <f ca="1">INDIRECT("'"&amp;AA11&amp;"'!"&amp;"$i$5")</f>
        <v>3089</v>
      </c>
      <c r="AE11" s="196">
        <f ca="1">INDIRECT("'"&amp;AA11&amp;"'!"&amp;"$q$5")</f>
        <v>6598.8</v>
      </c>
      <c r="AF11" s="24">
        <f t="shared" ca="1" si="1"/>
        <v>6598.8</v>
      </c>
      <c r="AH11" s="2" t="s">
        <v>49</v>
      </c>
      <c r="AI11" s="195">
        <f ca="1">INDIRECT("'"&amp;AH11&amp;"'!"&amp;"$j$10")</f>
        <v>9000</v>
      </c>
      <c r="AK11" s="24">
        <f ca="1">INDIRECT("'"&amp;AH11&amp;"'!"&amp;"$r$10")</f>
        <v>36000</v>
      </c>
      <c r="AM11" s="24">
        <f t="shared" ca="1" si="2"/>
        <v>36000</v>
      </c>
      <c r="AO11" s="2" t="s">
        <v>36</v>
      </c>
      <c r="AP11" s="195">
        <f ca="1">INDIRECT("'"&amp;AO11&amp;"'!"&amp;"$e$5")</f>
        <v>1735</v>
      </c>
      <c r="AS11" s="196">
        <f ca="1">INDIRECT("'"&amp;AO11&amp;"'!"&amp;"$p$5")</f>
        <v>0</v>
      </c>
      <c r="AT11" s="24">
        <f t="shared" ca="1" si="3"/>
        <v>1735</v>
      </c>
    </row>
    <row r="12" spans="1:46" x14ac:dyDescent="0.3">
      <c r="A12" s="121"/>
      <c r="B12" s="99" t="s">
        <v>67</v>
      </c>
      <c r="C12" s="81" t="s">
        <v>91</v>
      </c>
      <c r="D12" s="81" t="s">
        <v>91</v>
      </c>
      <c r="E12" s="82"/>
      <c r="F12" s="82"/>
      <c r="G12" s="81" t="s">
        <v>91</v>
      </c>
      <c r="H12" s="100" t="s">
        <v>91</v>
      </c>
      <c r="I12" s="120"/>
      <c r="J12" s="111" t="s">
        <v>91</v>
      </c>
      <c r="K12" s="198"/>
      <c r="L12" s="198"/>
      <c r="M12" s="83" t="s">
        <v>91</v>
      </c>
      <c r="N12" s="112" t="s">
        <v>91</v>
      </c>
      <c r="O12" s="120"/>
      <c r="P12" s="133">
        <v>4</v>
      </c>
      <c r="Q12" s="134">
        <v>3</v>
      </c>
      <c r="R12" s="121"/>
      <c r="T12" s="2" t="s">
        <v>75</v>
      </c>
      <c r="V12" s="194">
        <f ca="1">INDIRECT("'"&amp;T12&amp;"'!"&amp;"$d$5")+INDIRECT("'"&amp;T12&amp;"'!"&amp;"$e$5")+INDIRECT("'"&amp;T12&amp;"'!"&amp;"$h$5")</f>
        <v>90241.002359999999</v>
      </c>
      <c r="X12" s="196">
        <f ca="1">INDIRECT("'"&amp;T12&amp;"'!"&amp;"$l$5")+INDIRECT("'"&amp;T12&amp;"'!"&amp;"$m$5")+INDIRECT("'"&amp;T12&amp;"'!"&amp;"$o$5")</f>
        <v>116043.73199999999</v>
      </c>
      <c r="Y12" s="24">
        <f ca="1">MAX(U12:X12)</f>
        <v>116043.73199999999</v>
      </c>
      <c r="AA12" s="2" t="s">
        <v>56</v>
      </c>
      <c r="AB12" s="195">
        <f ca="1">INDIRECT("'"&amp;AA12&amp;"'!"&amp;"$i$5")</f>
        <v>2599</v>
      </c>
      <c r="AE12" s="196">
        <f ca="1">INDIRECT("'"&amp;AA12&amp;"'!"&amp;"$q$5")</f>
        <v>5922</v>
      </c>
      <c r="AF12" s="24">
        <f t="shared" ca="1" si="1"/>
        <v>5922</v>
      </c>
      <c r="AH12" s="2" t="s">
        <v>56</v>
      </c>
      <c r="AI12" s="195">
        <f ca="1">INDIRECT("'"&amp;AH12&amp;"'!"&amp;"$j$10")</f>
        <v>36000</v>
      </c>
      <c r="AL12" s="196">
        <f ca="1">INDIRECT("'"&amp;AH12&amp;"'!"&amp;"$r$10")</f>
        <v>-4354</v>
      </c>
      <c r="AM12" s="24">
        <f t="shared" ca="1" si="2"/>
        <v>36000</v>
      </c>
      <c r="AO12" s="2" t="s">
        <v>46</v>
      </c>
      <c r="AP12" s="195">
        <f ca="1">INDIRECT("'"&amp;AO12&amp;"'!"&amp;"$e$5")</f>
        <v>330</v>
      </c>
      <c r="AR12" s="24">
        <f ca="1">INDIRECT("'"&amp;AO12&amp;"'!"&amp;"$p$5")</f>
        <v>0</v>
      </c>
      <c r="AT12" s="24">
        <f t="shared" ca="1" si="3"/>
        <v>330</v>
      </c>
    </row>
    <row r="13" spans="1:46" x14ac:dyDescent="0.3">
      <c r="A13" s="121"/>
      <c r="B13" s="99" t="s">
        <v>57</v>
      </c>
      <c r="C13" s="81" t="s">
        <v>91</v>
      </c>
      <c r="D13" s="81" t="s">
        <v>91</v>
      </c>
      <c r="E13" s="82"/>
      <c r="F13" s="82"/>
      <c r="G13" s="81" t="s">
        <v>91</v>
      </c>
      <c r="H13" s="100" t="s">
        <v>91</v>
      </c>
      <c r="I13" s="120"/>
      <c r="J13" s="109" t="s">
        <v>91</v>
      </c>
      <c r="K13" s="77" t="s">
        <v>91</v>
      </c>
      <c r="L13" s="77"/>
      <c r="M13" s="77" t="s">
        <v>91</v>
      </c>
      <c r="N13" s="110" t="s">
        <v>91</v>
      </c>
      <c r="O13" s="120"/>
      <c r="P13" s="109">
        <v>4</v>
      </c>
      <c r="Q13" s="110">
        <v>4</v>
      </c>
      <c r="R13" s="121"/>
      <c r="T13" s="2" t="s">
        <v>67</v>
      </c>
      <c r="V13" s="194">
        <f ca="1">INDIRECT("'"&amp;T13&amp;"'!"&amp;"$d$5")+INDIRECT("'"&amp;T13&amp;"'!"&amp;"$e$5")+INDIRECT("'"&amp;T13&amp;"'!"&amp;"$h$5")</f>
        <v>112083.50336</v>
      </c>
      <c r="X13" s="196">
        <f ca="1">INDIRECT("'"&amp;T13&amp;"'!"&amp;"$l$5")+INDIRECT("'"&amp;T13&amp;"'!"&amp;"$m$5")+INDIRECT("'"&amp;T13&amp;"'!"&amp;"$o$5")</f>
        <v>89096.22</v>
      </c>
      <c r="Y13" s="24">
        <f t="shared" ca="1" si="0"/>
        <v>112083.50336</v>
      </c>
      <c r="AA13" s="2" t="s">
        <v>48</v>
      </c>
      <c r="AC13" s="194">
        <f ca="1">INDIRECT("'"&amp;AA13&amp;"'!"&amp;"$h$5")</f>
        <v>0</v>
      </c>
      <c r="AE13" s="196">
        <f ca="1">INDIRECT("'"&amp;AA13&amp;"'!"&amp;"$o$5")</f>
        <v>4889.88</v>
      </c>
      <c r="AF13" s="24">
        <f t="shared" ca="1" si="1"/>
        <v>4889.88</v>
      </c>
      <c r="AH13" s="2" t="s">
        <v>36</v>
      </c>
      <c r="AI13" s="195">
        <f ca="1">INDIRECT("'"&amp;AH13&amp;"'!"&amp;"$j$10")</f>
        <v>9000</v>
      </c>
      <c r="AL13" s="196">
        <f ca="1">INDIRECT("'"&amp;AH13&amp;"'!"&amp;"$r$10")</f>
        <v>27660</v>
      </c>
      <c r="AM13" s="24">
        <f t="shared" ca="1" si="2"/>
        <v>27660</v>
      </c>
      <c r="AO13" s="60" t="s">
        <v>53</v>
      </c>
      <c r="AP13" s="195">
        <f ca="1">INDIRECT("'"&amp;AO13&amp;"'!"&amp;"$e$5")</f>
        <v>0</v>
      </c>
      <c r="AS13" s="196">
        <f ca="1">INDIRECT("'"&amp;AO13&amp;"'!"&amp;"$p$5")</f>
        <v>0</v>
      </c>
      <c r="AT13" s="24">
        <f t="shared" ca="1" si="3"/>
        <v>0</v>
      </c>
    </row>
    <row r="14" spans="1:46" x14ac:dyDescent="0.3">
      <c r="A14" s="121"/>
      <c r="B14" s="99" t="s">
        <v>50</v>
      </c>
      <c r="C14" s="81" t="s">
        <v>91</v>
      </c>
      <c r="D14" s="81" t="s">
        <v>91</v>
      </c>
      <c r="E14" s="81" t="s">
        <v>91</v>
      </c>
      <c r="F14" s="81" t="s">
        <v>91</v>
      </c>
      <c r="G14" s="81" t="s">
        <v>91</v>
      </c>
      <c r="H14" s="100" t="s">
        <v>91</v>
      </c>
      <c r="I14" s="120"/>
      <c r="J14" s="109" t="s">
        <v>91</v>
      </c>
      <c r="K14" s="77" t="s">
        <v>91</v>
      </c>
      <c r="L14" s="77" t="s">
        <v>91</v>
      </c>
      <c r="M14" s="77" t="s">
        <v>91</v>
      </c>
      <c r="N14" s="110" t="s">
        <v>91</v>
      </c>
      <c r="O14" s="120"/>
      <c r="P14" s="109">
        <v>5</v>
      </c>
      <c r="Q14" s="110">
        <v>5</v>
      </c>
      <c r="R14" s="121"/>
      <c r="T14" s="2" t="s">
        <v>50</v>
      </c>
      <c r="V14" s="194">
        <f ca="1">INDIRECT("'"&amp;T14&amp;"'!"&amp;"$d$5")+INDIRECT("'"&amp;T14&amp;"'!"&amp;"$e$5")+INDIRECT("'"&amp;T14&amp;"'!"&amp;"$i$5")</f>
        <v>110139.8315550064</v>
      </c>
      <c r="W14" s="24">
        <f ca="1">INDIRECT("'"&amp;T14&amp;"'!"&amp;"$m$5")+INDIRECT("'"&amp;T14&amp;"'!"&amp;"$n$5")+INDIRECT("'"&amp;T14&amp;"'!"&amp;"$p$5")</f>
        <v>62003.886230920718</v>
      </c>
      <c r="Y14" s="24">
        <f t="shared" ca="1" si="0"/>
        <v>110139.8315550064</v>
      </c>
      <c r="AA14" s="2" t="s">
        <v>44</v>
      </c>
      <c r="AC14" s="194">
        <f ca="1">INDIRECT("'"&amp;AA14&amp;"'!"&amp;"$h$5")</f>
        <v>0</v>
      </c>
      <c r="AD14" s="24">
        <f ca="1">INDIRECT("'"&amp;AA14&amp;"'!"&amp;"$o$5")</f>
        <v>4671</v>
      </c>
      <c r="AF14" s="24">
        <f t="shared" ca="1" si="1"/>
        <v>4671</v>
      </c>
      <c r="AH14" s="2" t="s">
        <v>50</v>
      </c>
      <c r="AJ14" s="194">
        <f ca="1">INDIRECT("'"&amp;AH14&amp;"'!"&amp;"$j$10")</f>
        <v>0</v>
      </c>
      <c r="AK14" s="24">
        <f ca="1">INDIRECT("'"&amp;AH14&amp;"'!"&amp;"$q$10")</f>
        <v>21000</v>
      </c>
      <c r="AM14" s="24">
        <f t="shared" ca="1" si="2"/>
        <v>21000</v>
      </c>
      <c r="AO14" s="60" t="s">
        <v>83</v>
      </c>
      <c r="AQ14" s="194">
        <f t="shared" ref="AQ14:AQ27" ca="1" si="4">INDIRECT("'"&amp;AO14&amp;"'!"&amp;"$f$5")</f>
        <v>0</v>
      </c>
      <c r="AS14" s="196">
        <f ca="1">INDIRECT("'"&amp;AO14&amp;"'!"&amp;"$n$5")</f>
        <v>0</v>
      </c>
      <c r="AT14" s="24">
        <f t="shared" ca="1" si="3"/>
        <v>0</v>
      </c>
    </row>
    <row r="15" spans="1:46" x14ac:dyDescent="0.3">
      <c r="A15" s="121"/>
      <c r="B15" s="99" t="s">
        <v>44</v>
      </c>
      <c r="C15" s="81" t="s">
        <v>91</v>
      </c>
      <c r="D15" s="82"/>
      <c r="E15" s="82"/>
      <c r="F15" s="82"/>
      <c r="G15" s="82"/>
      <c r="H15" s="101"/>
      <c r="I15" s="120"/>
      <c r="J15" s="109" t="s">
        <v>91</v>
      </c>
      <c r="K15" s="77" t="s">
        <v>91</v>
      </c>
      <c r="L15" s="77" t="s">
        <v>91</v>
      </c>
      <c r="M15" s="77" t="s">
        <v>91</v>
      </c>
      <c r="N15" s="110" t="s">
        <v>91</v>
      </c>
      <c r="O15" s="120"/>
      <c r="P15" s="133">
        <v>1</v>
      </c>
      <c r="Q15" s="134">
        <v>5</v>
      </c>
      <c r="R15" s="121"/>
      <c r="T15" s="2" t="s">
        <v>69</v>
      </c>
      <c r="V15" s="194">
        <f ca="1">INDIRECT("'"&amp;T15&amp;"'!"&amp;"$d$5")+INDIRECT("'"&amp;T15&amp;"'!"&amp;"$e$5")+INDIRECT("'"&amp;T15&amp;"'!"&amp;"$h$5")</f>
        <v>133674.49283999999</v>
      </c>
      <c r="X15" s="196">
        <f ca="1">INDIRECT("'"&amp;T15&amp;"'!"&amp;"$l$5")+INDIRECT("'"&amp;T15&amp;"'!"&amp;"$m$5")+INDIRECT("'"&amp;T15&amp;"'!"&amp;"$o$5")</f>
        <v>32764.723559999999</v>
      </c>
      <c r="Y15" s="24">
        <f t="shared" ca="1" si="0"/>
        <v>133674.49283999999</v>
      </c>
      <c r="AA15" s="2" t="s">
        <v>49</v>
      </c>
      <c r="AB15" s="195">
        <f ca="1">INDIRECT("'"&amp;AA15&amp;"'!"&amp;"$i$5")</f>
        <v>3836</v>
      </c>
      <c r="AD15" s="24">
        <f ca="1">INDIRECT("'"&amp;AA15&amp;"'!"&amp;"$q$5")</f>
        <v>3892.5</v>
      </c>
      <c r="AF15" s="24">
        <f t="shared" ca="1" si="1"/>
        <v>3892.5</v>
      </c>
      <c r="AH15" s="2" t="s">
        <v>65</v>
      </c>
      <c r="AJ15" s="194">
        <f t="shared" ref="AJ15:AJ24" ca="1" si="5">INDIRECT("'"&amp;AH15&amp;"'!"&amp;"$i$10")</f>
        <v>870</v>
      </c>
      <c r="AK15" s="24">
        <f ca="1">INDIRECT("'"&amp;AH15&amp;"'!"&amp;"$p$10")</f>
        <v>17300</v>
      </c>
      <c r="AM15" s="24">
        <f t="shared" ca="1" si="2"/>
        <v>17300</v>
      </c>
      <c r="AO15" s="60" t="s">
        <v>67</v>
      </c>
      <c r="AQ15" s="194">
        <f t="shared" ca="1" si="4"/>
        <v>0</v>
      </c>
      <c r="AS15" s="196">
        <f ca="1">INDIRECT("'"&amp;AO15&amp;"'!"&amp;"$n$5")</f>
        <v>0</v>
      </c>
      <c r="AT15" s="24">
        <f t="shared" ca="1" si="3"/>
        <v>0</v>
      </c>
    </row>
    <row r="16" spans="1:46" x14ac:dyDescent="0.3">
      <c r="A16" s="121"/>
      <c r="B16" s="99" t="s">
        <v>59</v>
      </c>
      <c r="C16" s="81" t="s">
        <v>91</v>
      </c>
      <c r="D16" s="82"/>
      <c r="E16" s="82"/>
      <c r="F16" s="81" t="s">
        <v>91</v>
      </c>
      <c r="G16" s="81" t="s">
        <v>91</v>
      </c>
      <c r="H16" s="101"/>
      <c r="I16" s="120"/>
      <c r="J16" s="111" t="s">
        <v>91</v>
      </c>
      <c r="K16" s="198"/>
      <c r="L16" s="198"/>
      <c r="M16" s="83" t="s">
        <v>91</v>
      </c>
      <c r="N16" s="112" t="s">
        <v>91</v>
      </c>
      <c r="O16" s="120"/>
      <c r="P16" s="133">
        <v>2</v>
      </c>
      <c r="Q16" s="134">
        <v>3</v>
      </c>
      <c r="R16" s="121"/>
      <c r="T16" s="2" t="s">
        <v>57</v>
      </c>
      <c r="V16" s="194">
        <f ca="1">INDIRECT("'"&amp;T16&amp;"'!"&amp;"$d$5")+INDIRECT("'"&amp;T16&amp;"'!"&amp;"$e$5")+INDIRECT("'"&amp;T16&amp;"'!"&amp;"$h$5")</f>
        <v>97455.388960000011</v>
      </c>
      <c r="W16" s="24">
        <f ca="1">INDIRECT("'"&amp;T16&amp;"'!"&amp;"$l$5")+INDIRECT("'"&amp;T16&amp;"'!"&amp;"$m$5")+INDIRECT("'"&amp;T16&amp;"'!"&amp;"$o$5")</f>
        <v>27231.525127528716</v>
      </c>
      <c r="Y16" s="24">
        <f t="shared" ca="1" si="0"/>
        <v>97455.388960000011</v>
      </c>
      <c r="AA16" s="2" t="s">
        <v>57</v>
      </c>
      <c r="AC16" s="194">
        <f ca="1">INDIRECT("'"&amp;AA16&amp;"'!"&amp;"$h$5")</f>
        <v>3632.0895999999998</v>
      </c>
      <c r="AD16" s="24">
        <f ca="1">INDIRECT("'"&amp;AA16&amp;"'!"&amp;"$o$5")</f>
        <v>3148.6</v>
      </c>
      <c r="AF16" s="24">
        <f t="shared" ca="1" si="1"/>
        <v>3632.0895999999998</v>
      </c>
      <c r="AH16" s="2" t="s">
        <v>42</v>
      </c>
      <c r="AJ16" s="194">
        <f t="shared" ca="1" si="5"/>
        <v>12190.283300000001</v>
      </c>
      <c r="AK16" s="24">
        <f ca="1">INDIRECT("'"&amp;AH16&amp;"'!"&amp;"$p$10")</f>
        <v>12290</v>
      </c>
      <c r="AM16" s="24">
        <f t="shared" ca="1" si="2"/>
        <v>12290</v>
      </c>
      <c r="AO16" s="60" t="s">
        <v>55</v>
      </c>
      <c r="AQ16" s="194">
        <f t="shared" ca="1" si="4"/>
        <v>0</v>
      </c>
      <c r="AS16" s="196">
        <f ca="1">INDIRECT("'"&amp;AO16&amp;"'!"&amp;"$n$5")</f>
        <v>0</v>
      </c>
      <c r="AT16" s="24">
        <f t="shared" ca="1" si="3"/>
        <v>0</v>
      </c>
    </row>
    <row r="17" spans="1:46" x14ac:dyDescent="0.3">
      <c r="A17" s="121"/>
      <c r="B17" s="99" t="s">
        <v>68</v>
      </c>
      <c r="C17" s="81" t="s">
        <v>91</v>
      </c>
      <c r="D17" s="81" t="s">
        <v>91</v>
      </c>
      <c r="E17" s="82"/>
      <c r="F17" s="82"/>
      <c r="G17" s="82"/>
      <c r="H17" s="101"/>
      <c r="I17" s="120"/>
      <c r="J17" s="111" t="s">
        <v>91</v>
      </c>
      <c r="K17" s="198"/>
      <c r="L17" s="198"/>
      <c r="M17" s="83" t="s">
        <v>91</v>
      </c>
      <c r="N17" s="112" t="s">
        <v>91</v>
      </c>
      <c r="O17" s="120"/>
      <c r="P17" s="133">
        <v>1</v>
      </c>
      <c r="Q17" s="134">
        <v>3</v>
      </c>
      <c r="R17" s="121"/>
      <c r="T17" s="2" t="s">
        <v>65</v>
      </c>
      <c r="V17" s="194">
        <f ca="1">INDIRECT("'"&amp;T17&amp;"'!"&amp;"$d$5")+INDIRECT("'"&amp;T17&amp;"'!"&amp;"$e$5")+INDIRECT("'"&amp;T17&amp;"'!"&amp;"$h$5")</f>
        <v>91467.731844000009</v>
      </c>
      <c r="W17" s="24">
        <f ca="1">INDIRECT("'"&amp;T17&amp;"'!"&amp;"$l$5")+INDIRECT("'"&amp;T17&amp;"'!"&amp;"$m$5")+INDIRECT("'"&amp;T17&amp;"'!"&amp;"$o$5")</f>
        <v>56342.192373061509</v>
      </c>
      <c r="Y17" s="24">
        <f t="shared" ca="1" si="0"/>
        <v>91467.731844000009</v>
      </c>
      <c r="AA17" s="2" t="s">
        <v>75</v>
      </c>
      <c r="AC17" s="194">
        <f ca="1">INDIRECT("'"&amp;AA17&amp;"'!"&amp;"$h$5")</f>
        <v>1274.499</v>
      </c>
      <c r="AE17" s="196">
        <f ca="1">INDIRECT("'"&amp;AA17&amp;"'!"&amp;"$o$5")</f>
        <v>3553.2</v>
      </c>
      <c r="AF17" s="24">
        <f ca="1">MAX(AB17:AE17)</f>
        <v>3553.2</v>
      </c>
      <c r="AH17" s="2" t="s">
        <v>67</v>
      </c>
      <c r="AJ17" s="194">
        <f t="shared" ca="1" si="5"/>
        <v>3622</v>
      </c>
      <c r="AL17" s="196">
        <f ca="1">INDIRECT("'"&amp;AH17&amp;"'!"&amp;"$p$10")</f>
        <v>5060</v>
      </c>
      <c r="AM17" s="24">
        <f t="shared" ca="1" si="2"/>
        <v>5060</v>
      </c>
      <c r="AO17" s="2" t="s">
        <v>65</v>
      </c>
      <c r="AQ17" s="194">
        <f t="shared" ca="1" si="4"/>
        <v>0</v>
      </c>
      <c r="AR17" s="24">
        <f ca="1">INDIRECT("'"&amp;AO17&amp;"'!"&amp;"$n$5")</f>
        <v>0</v>
      </c>
      <c r="AT17" s="24">
        <f t="shared" ca="1" si="3"/>
        <v>0</v>
      </c>
    </row>
    <row r="18" spans="1:46" x14ac:dyDescent="0.3">
      <c r="A18" s="121"/>
      <c r="B18" s="99" t="s">
        <v>69</v>
      </c>
      <c r="C18" s="81" t="s">
        <v>91</v>
      </c>
      <c r="D18" s="81" t="s">
        <v>91</v>
      </c>
      <c r="E18" s="82"/>
      <c r="F18" s="81" t="s">
        <v>91</v>
      </c>
      <c r="G18" s="81" t="s">
        <v>91</v>
      </c>
      <c r="H18" s="100" t="s">
        <v>91</v>
      </c>
      <c r="I18" s="120"/>
      <c r="J18" s="111" t="s">
        <v>91</v>
      </c>
      <c r="K18" s="198"/>
      <c r="L18" s="198"/>
      <c r="M18" s="83" t="s">
        <v>91</v>
      </c>
      <c r="N18" s="112" t="s">
        <v>91</v>
      </c>
      <c r="O18" s="120"/>
      <c r="P18" s="133">
        <v>4</v>
      </c>
      <c r="Q18" s="134">
        <v>3</v>
      </c>
      <c r="R18" s="121"/>
      <c r="T18" s="2" t="s">
        <v>54</v>
      </c>
      <c r="V18" s="194">
        <f ca="1">INDIRECT("'"&amp;T18&amp;"'!"&amp;"$d$5")+INDIRECT("'"&amp;T18&amp;"'!"&amp;"$e$5")+INDIRECT("'"&amp;T18&amp;"'!"&amp;"$h$5")</f>
        <v>112596.92219100001</v>
      </c>
      <c r="X18" s="196">
        <f ca="1">INDIRECT("'"&amp;T18&amp;"'!"&amp;"$l$5")+INDIRECT("'"&amp;T18&amp;"'!"&amp;"$m$5")+INDIRECT("'"&amp;T18&amp;"'!"&amp;"$o$5")</f>
        <v>20543.04</v>
      </c>
      <c r="Y18" s="24">
        <f t="shared" ca="1" si="0"/>
        <v>112596.92219100001</v>
      </c>
      <c r="AA18" s="2" t="s">
        <v>50</v>
      </c>
      <c r="AC18" s="194">
        <f ca="1">INDIRECT("'"&amp;AA18&amp;"'!"&amp;"$i$5")</f>
        <v>3024</v>
      </c>
      <c r="AD18" s="24">
        <f ca="1">INDIRECT("'"&amp;AA18&amp;"'!"&amp;"$p$5")</f>
        <v>2771</v>
      </c>
      <c r="AF18" s="24">
        <f t="shared" ca="1" si="1"/>
        <v>3024</v>
      </c>
      <c r="AH18" s="2" t="s">
        <v>57</v>
      </c>
      <c r="AJ18" s="194">
        <f t="shared" ca="1" si="5"/>
        <v>5000</v>
      </c>
      <c r="AK18" s="24">
        <f ca="1">INDIRECT("'"&amp;AH18&amp;"'!"&amp;"$p$10")</f>
        <v>5000</v>
      </c>
      <c r="AM18" s="24">
        <f t="shared" ca="1" si="2"/>
        <v>5000</v>
      </c>
      <c r="AO18" s="2" t="s">
        <v>66</v>
      </c>
      <c r="AQ18" s="194">
        <f t="shared" ca="1" si="4"/>
        <v>0</v>
      </c>
      <c r="AS18" s="196">
        <f ca="1">INDIRECT("'"&amp;AO18&amp;"'!"&amp;"$n$5")</f>
        <v>0</v>
      </c>
      <c r="AT18" s="24">
        <f t="shared" ca="1" si="3"/>
        <v>0</v>
      </c>
    </row>
    <row r="19" spans="1:46" x14ac:dyDescent="0.3">
      <c r="A19" s="121"/>
      <c r="B19" s="99" t="s">
        <v>48</v>
      </c>
      <c r="C19" s="81" t="s">
        <v>91</v>
      </c>
      <c r="D19" s="82"/>
      <c r="E19" s="82"/>
      <c r="F19" s="81" t="s">
        <v>91</v>
      </c>
      <c r="G19" s="82"/>
      <c r="H19" s="100" t="s">
        <v>91</v>
      </c>
      <c r="I19" s="120"/>
      <c r="J19" s="111" t="s">
        <v>91</v>
      </c>
      <c r="K19" s="198"/>
      <c r="L19" s="198"/>
      <c r="M19" s="83" t="s">
        <v>91</v>
      </c>
      <c r="N19" s="112" t="s">
        <v>91</v>
      </c>
      <c r="O19" s="120"/>
      <c r="P19" s="133">
        <v>2</v>
      </c>
      <c r="Q19" s="134">
        <v>3</v>
      </c>
      <c r="R19" s="121"/>
      <c r="T19" s="2" t="s">
        <v>36</v>
      </c>
      <c r="U19" s="195">
        <f ca="1">INDIRECT("'"&amp;T19&amp;"'!"&amp;"$d$5")</f>
        <v>88966.503360000002</v>
      </c>
      <c r="X19" s="196">
        <f ca="1">INDIRECT("'"&amp;T19&amp;"'!"&amp;"$m$5")</f>
        <v>16722.584999999999</v>
      </c>
      <c r="Y19" s="24">
        <f t="shared" ca="1" si="0"/>
        <v>88966.503360000002</v>
      </c>
      <c r="AA19" s="2" t="s">
        <v>65</v>
      </c>
      <c r="AC19" s="194">
        <f ca="1">INDIRECT("'"&amp;AA19&amp;"'!"&amp;"$h$5")</f>
        <v>2393.7642000000001</v>
      </c>
      <c r="AD19" s="24">
        <f ca="1">INDIRECT("'"&amp;AA19&amp;"'!"&amp;"$o$5")</f>
        <v>2889.1</v>
      </c>
      <c r="AF19" s="24">
        <f t="shared" ca="1" si="1"/>
        <v>2889.1</v>
      </c>
      <c r="AH19" s="2" t="s">
        <v>55</v>
      </c>
      <c r="AJ19" s="194">
        <f t="shared" ca="1" si="5"/>
        <v>844.15584415584419</v>
      </c>
      <c r="AL19" s="196">
        <f ca="1">INDIRECT("'"&amp;AH19&amp;"'!"&amp;"$p$10")</f>
        <v>4436</v>
      </c>
      <c r="AM19" s="24">
        <f t="shared" ca="1" si="2"/>
        <v>4436</v>
      </c>
      <c r="AO19" s="2" t="s">
        <v>75</v>
      </c>
      <c r="AQ19" s="194">
        <f t="shared" ca="1" si="4"/>
        <v>0</v>
      </c>
      <c r="AS19" s="196">
        <f ca="1">INDIRECT("'"&amp;AO19&amp;"'!"&amp;"$n$5")</f>
        <v>0</v>
      </c>
      <c r="AT19" s="24">
        <f t="shared" ca="1" si="3"/>
        <v>0</v>
      </c>
    </row>
    <row r="20" spans="1:46" x14ac:dyDescent="0.3">
      <c r="A20" s="121"/>
      <c r="B20" s="99" t="s">
        <v>60</v>
      </c>
      <c r="C20" s="81" t="s">
        <v>91</v>
      </c>
      <c r="D20" s="81" t="s">
        <v>91</v>
      </c>
      <c r="E20" s="82"/>
      <c r="F20" s="82"/>
      <c r="G20" s="82"/>
      <c r="H20" s="101"/>
      <c r="I20" s="120"/>
      <c r="J20" s="109" t="s">
        <v>91</v>
      </c>
      <c r="K20" s="85"/>
      <c r="L20" s="85"/>
      <c r="M20" s="77" t="s">
        <v>91</v>
      </c>
      <c r="N20" s="110" t="s">
        <v>91</v>
      </c>
      <c r="O20" s="120"/>
      <c r="P20" s="133">
        <v>2</v>
      </c>
      <c r="Q20" s="134">
        <v>3</v>
      </c>
      <c r="R20" s="121"/>
      <c r="T20" s="2" t="s">
        <v>46</v>
      </c>
      <c r="U20" s="195">
        <f ca="1">INDIRECT("'"&amp;T20&amp;"'!"&amp;"$d$5")</f>
        <v>88966.503360000002</v>
      </c>
      <c r="W20" s="24">
        <f ca="1">INDIRECT("'"&amp;T20&amp;"'!"&amp;"$m$5")</f>
        <v>21803.135201891066</v>
      </c>
      <c r="Y20" s="24">
        <f t="shared" ca="1" si="0"/>
        <v>88966.503360000002</v>
      </c>
      <c r="AA20" s="2" t="s">
        <v>67</v>
      </c>
      <c r="AC20" s="194">
        <f ca="1">INDIRECT("'"&amp;AA20&amp;"'!"&amp;"$h$5")</f>
        <v>96</v>
      </c>
      <c r="AE20" s="196">
        <f ca="1">INDIRECT("'"&amp;AA20&amp;"'!"&amp;"$o$5")</f>
        <v>2538</v>
      </c>
      <c r="AF20" s="24">
        <f t="shared" ca="1" si="1"/>
        <v>2538</v>
      </c>
      <c r="AH20" s="2" t="s">
        <v>48</v>
      </c>
      <c r="AJ20" s="194">
        <f t="shared" ca="1" si="5"/>
        <v>1000</v>
      </c>
      <c r="AL20" s="196">
        <f ca="1">INDIRECT("'"&amp;AH20&amp;"'!"&amp;"$p$10")</f>
        <v>3878</v>
      </c>
      <c r="AM20" s="24">
        <f t="shared" ca="1" si="2"/>
        <v>3878</v>
      </c>
      <c r="AO20" s="2" t="s">
        <v>57</v>
      </c>
      <c r="AQ20" s="194">
        <f t="shared" ca="1" si="4"/>
        <v>0</v>
      </c>
      <c r="AR20" s="24">
        <f ca="1">INDIRECT("'"&amp;AO20&amp;"'!"&amp;"$n$5")</f>
        <v>0</v>
      </c>
      <c r="AT20" s="24">
        <f t="shared" ca="1" si="3"/>
        <v>0</v>
      </c>
    </row>
    <row r="21" spans="1:46" x14ac:dyDescent="0.3">
      <c r="A21" s="121"/>
      <c r="B21" s="99" t="s">
        <v>73</v>
      </c>
      <c r="C21" s="81" t="s">
        <v>91</v>
      </c>
      <c r="D21" s="81" t="s">
        <v>91</v>
      </c>
      <c r="E21" s="82"/>
      <c r="F21" s="81" t="s">
        <v>91</v>
      </c>
      <c r="G21" s="82"/>
      <c r="H21" s="100" t="s">
        <v>91</v>
      </c>
      <c r="I21" s="120"/>
      <c r="J21" s="109" t="s">
        <v>91</v>
      </c>
      <c r="K21" s="77" t="s">
        <v>91</v>
      </c>
      <c r="L21" s="85"/>
      <c r="M21" s="85"/>
      <c r="N21" s="110" t="s">
        <v>91</v>
      </c>
      <c r="O21" s="120"/>
      <c r="P21" s="109">
        <v>3</v>
      </c>
      <c r="Q21" s="110">
        <v>3</v>
      </c>
      <c r="R21" s="121"/>
      <c r="T21" s="2" t="s">
        <v>48</v>
      </c>
      <c r="V21" s="194">
        <f ca="1">INDIRECT("'"&amp;T21&amp;"'!"&amp;"$d$5")+INDIRECT("'"&amp;T21&amp;"'!"&amp;"$e$5")+INDIRECT("'"&amp;T21&amp;"'!"&amp;"$h$5")</f>
        <v>88966.503360000002</v>
      </c>
      <c r="X21" s="196">
        <f ca="1">INDIRECT("'"&amp;T21&amp;"'!"&amp;"$l$5")+INDIRECT("'"&amp;T21&amp;"'!"&amp;"$m$5")+INDIRECT("'"&amp;T21&amp;"'!"&amp;"$o$5")</f>
        <v>32457.420000000002</v>
      </c>
      <c r="Y21" s="24">
        <f t="shared" ca="1" si="0"/>
        <v>88966.503360000002</v>
      </c>
      <c r="AA21" s="2" t="s">
        <v>55</v>
      </c>
      <c r="AC21" s="194">
        <f ca="1">INDIRECT("'"&amp;AA21&amp;"'!"&amp;"$h$5")</f>
        <v>0</v>
      </c>
      <c r="AE21" s="196">
        <f ca="1">INDIRECT("'"&amp;AA21&amp;"'!"&amp;"$o$5")</f>
        <v>1556.64</v>
      </c>
      <c r="AF21" s="24">
        <f t="shared" ca="1" si="1"/>
        <v>1556.64</v>
      </c>
      <c r="AH21" s="2" t="s">
        <v>69</v>
      </c>
      <c r="AJ21" s="194">
        <f t="shared" ca="1" si="5"/>
        <v>3000</v>
      </c>
      <c r="AL21" s="196">
        <f ca="1">INDIRECT("'"&amp;AH21&amp;"'!"&amp;"$p$10")</f>
        <v>2003</v>
      </c>
      <c r="AM21" s="24">
        <f t="shared" ca="1" si="2"/>
        <v>3000</v>
      </c>
      <c r="AO21" s="2" t="s">
        <v>59</v>
      </c>
      <c r="AQ21" s="194">
        <f t="shared" ca="1" si="4"/>
        <v>0</v>
      </c>
      <c r="AS21" s="196">
        <f ca="1">INDIRECT("'"&amp;AO21&amp;"'!"&amp;"$n$5")</f>
        <v>0</v>
      </c>
      <c r="AT21" s="24">
        <f t="shared" ca="1" si="3"/>
        <v>0</v>
      </c>
    </row>
    <row r="22" spans="1:46" x14ac:dyDescent="0.3">
      <c r="A22" s="121"/>
      <c r="B22" s="99" t="s">
        <v>61</v>
      </c>
      <c r="C22" s="81" t="s">
        <v>91</v>
      </c>
      <c r="D22" s="81" t="s">
        <v>91</v>
      </c>
      <c r="E22" s="82"/>
      <c r="F22" s="82"/>
      <c r="G22" s="81" t="s">
        <v>91</v>
      </c>
      <c r="H22" s="100" t="s">
        <v>91</v>
      </c>
      <c r="I22" s="120"/>
      <c r="J22" s="111" t="s">
        <v>91</v>
      </c>
      <c r="K22" s="198"/>
      <c r="L22" s="198"/>
      <c r="M22" s="83" t="s">
        <v>91</v>
      </c>
      <c r="N22" s="112" t="s">
        <v>91</v>
      </c>
      <c r="O22" s="120"/>
      <c r="P22" s="133">
        <v>4</v>
      </c>
      <c r="Q22" s="134">
        <v>3</v>
      </c>
      <c r="R22" s="121"/>
      <c r="T22" s="2" t="s">
        <v>49</v>
      </c>
      <c r="U22" s="195">
        <f ca="1">INDIRECT("'"&amp;T22&amp;"'!"&amp;"$d$5")</f>
        <v>88966.503360000002</v>
      </c>
      <c r="W22" s="24">
        <f ca="1">INDIRECT("'"&amp;T22&amp;"'!"&amp;"$m$5")</f>
        <v>25094.304978980927</v>
      </c>
      <c r="Y22" s="24">
        <f t="shared" ca="1" si="0"/>
        <v>88966.503360000002</v>
      </c>
      <c r="AA22" s="2" t="s">
        <v>59</v>
      </c>
      <c r="AC22" s="194">
        <f ca="1">INDIRECT("'"&amp;AA22&amp;"'!"&amp;"$h$5")</f>
        <v>293.39999999999998</v>
      </c>
      <c r="AE22" s="196">
        <f ca="1">INDIRECT("'"&amp;AA22&amp;"'!"&amp;"$o$5")</f>
        <v>0</v>
      </c>
      <c r="AF22" s="24">
        <f t="shared" ca="1" si="1"/>
        <v>293.39999999999998</v>
      </c>
      <c r="AH22" s="2" t="s">
        <v>44</v>
      </c>
      <c r="AJ22" s="194">
        <f t="shared" ca="1" si="5"/>
        <v>0</v>
      </c>
      <c r="AK22" s="24">
        <f ca="1">INDIRECT("'"&amp;AH22&amp;"'!"&amp;"$p$10")</f>
        <v>2630</v>
      </c>
      <c r="AM22" s="24">
        <f t="shared" ca="1" si="2"/>
        <v>2630</v>
      </c>
      <c r="AO22" s="2" t="s">
        <v>68</v>
      </c>
      <c r="AQ22" s="194">
        <f t="shared" ca="1" si="4"/>
        <v>0</v>
      </c>
      <c r="AS22" s="196">
        <f ca="1">INDIRECT("'"&amp;AO22&amp;"'!"&amp;"$n$5")</f>
        <v>0</v>
      </c>
      <c r="AT22" s="24">
        <f t="shared" ca="1" si="3"/>
        <v>0</v>
      </c>
    </row>
    <row r="23" spans="1:46" x14ac:dyDescent="0.3">
      <c r="A23" s="121"/>
      <c r="B23" s="99" t="s">
        <v>54</v>
      </c>
      <c r="C23" s="81" t="s">
        <v>91</v>
      </c>
      <c r="D23" s="81" t="s">
        <v>91</v>
      </c>
      <c r="E23" s="81" t="s">
        <v>91</v>
      </c>
      <c r="F23" s="81" t="s">
        <v>91</v>
      </c>
      <c r="G23" s="81" t="s">
        <v>91</v>
      </c>
      <c r="H23" s="100" t="s">
        <v>91</v>
      </c>
      <c r="I23" s="120"/>
      <c r="J23" s="111" t="s">
        <v>91</v>
      </c>
      <c r="K23" s="198"/>
      <c r="L23" s="198"/>
      <c r="M23" s="83" t="s">
        <v>91</v>
      </c>
      <c r="N23" s="112" t="s">
        <v>91</v>
      </c>
      <c r="O23" s="120"/>
      <c r="P23" s="133">
        <v>5</v>
      </c>
      <c r="Q23" s="134">
        <v>3</v>
      </c>
      <c r="R23" s="121"/>
      <c r="T23" s="2" t="s">
        <v>55</v>
      </c>
      <c r="V23" s="194">
        <f t="shared" ref="V23:V28" ca="1" si="6">INDIRECT("'"&amp;T23&amp;"'!"&amp;"$d$5")+INDIRECT("'"&amp;T23&amp;"'!"&amp;"$e$5")+INDIRECT("'"&amp;T23&amp;"'!"&amp;"$h$5")</f>
        <v>88966.503360000002</v>
      </c>
      <c r="X23" s="196">
        <f ca="1">INDIRECT("'"&amp;T23&amp;"'!"&amp;"$l$5")+INDIRECT("'"&amp;T23&amp;"'!"&amp;"$m$5")+INDIRECT("'"&amp;T23&amp;"'!"&amp;"$o$5")</f>
        <v>9378.8585999999996</v>
      </c>
      <c r="Y23" s="24">
        <f t="shared" ca="1" si="0"/>
        <v>88966.503360000002</v>
      </c>
      <c r="AA23" s="2" t="s">
        <v>46</v>
      </c>
      <c r="AB23" s="195">
        <f ca="1">INDIRECT("'"&amp;AA23&amp;"'!"&amp;"$i$5")</f>
        <v>0</v>
      </c>
      <c r="AD23" s="24">
        <f ca="1">INDIRECT("'"&amp;AA23&amp;"'!"&amp;"$q$5")</f>
        <v>76.448700000000002</v>
      </c>
      <c r="AF23" s="24">
        <f t="shared" ca="1" si="1"/>
        <v>76.448700000000002</v>
      </c>
      <c r="AH23" s="2" t="s">
        <v>61</v>
      </c>
      <c r="AJ23" s="194">
        <f t="shared" ca="1" si="5"/>
        <v>693</v>
      </c>
      <c r="AL23" s="196">
        <f ca="1">INDIRECT("'"&amp;AH23&amp;"'!"&amp;"$p$10")</f>
        <v>2530</v>
      </c>
      <c r="AM23" s="24">
        <f t="shared" ca="1" si="2"/>
        <v>2530</v>
      </c>
      <c r="AO23" s="2" t="s">
        <v>69</v>
      </c>
      <c r="AQ23" s="194">
        <f t="shared" ca="1" si="4"/>
        <v>0</v>
      </c>
      <c r="AS23" s="196">
        <f ca="1">INDIRECT("'"&amp;AO23&amp;"'!"&amp;"$n$5")</f>
        <v>0</v>
      </c>
      <c r="AT23" s="24">
        <f t="shared" ca="1" si="3"/>
        <v>0</v>
      </c>
    </row>
    <row r="24" spans="1:46" x14ac:dyDescent="0.3">
      <c r="A24" s="121"/>
      <c r="B24" s="99" t="s">
        <v>83</v>
      </c>
      <c r="C24" s="81" t="s">
        <v>91</v>
      </c>
      <c r="D24" s="81"/>
      <c r="E24" s="81"/>
      <c r="F24" s="81"/>
      <c r="G24" s="81"/>
      <c r="H24" s="100"/>
      <c r="I24" s="120"/>
      <c r="J24" s="111" t="s">
        <v>91</v>
      </c>
      <c r="K24" s="198"/>
      <c r="L24" s="198"/>
      <c r="M24" s="83" t="s">
        <v>91</v>
      </c>
      <c r="N24" s="112" t="s">
        <v>91</v>
      </c>
      <c r="O24" s="120"/>
      <c r="P24" s="133">
        <v>1</v>
      </c>
      <c r="Q24" s="134">
        <v>3</v>
      </c>
      <c r="R24" s="121"/>
      <c r="T24" s="2" t="s">
        <v>59</v>
      </c>
      <c r="V24" s="194">
        <f t="shared" ca="1" si="6"/>
        <v>89259.903359999997</v>
      </c>
      <c r="X24" s="196">
        <f ca="1">INDIRECT("'"&amp;T24&amp;"'!"&amp;"$l$5")+INDIRECT("'"&amp;T24&amp;"'!"&amp;"$m$5")+INDIRECT("'"&amp;T24&amp;"'!"&amp;"$o$5")</f>
        <v>5613.2319600000001</v>
      </c>
      <c r="Y24" s="24">
        <f t="shared" ca="1" si="0"/>
        <v>89259.903359999997</v>
      </c>
      <c r="AA24" s="2" t="s">
        <v>61</v>
      </c>
      <c r="AC24" s="194">
        <f ca="1">INDIRECT("'"&amp;AA24&amp;"'!"&amp;"$h$5")</f>
        <v>5.6681999999999997</v>
      </c>
      <c r="AE24" s="196">
        <f ca="1">INDIRECT("'"&amp;AA24&amp;"'!"&amp;"$o$5")</f>
        <v>44.584200000000003</v>
      </c>
      <c r="AF24" s="24">
        <f t="shared" ca="1" si="1"/>
        <v>44.584200000000003</v>
      </c>
      <c r="AH24" s="2" t="s">
        <v>68</v>
      </c>
      <c r="AJ24" s="194">
        <f t="shared" ca="1" si="5"/>
        <v>0</v>
      </c>
      <c r="AL24" s="196">
        <f ca="1">INDIRECT("'"&amp;AH24&amp;"'!"&amp;"$p$10")</f>
        <v>1617</v>
      </c>
      <c r="AM24" s="24">
        <f t="shared" ca="1" si="2"/>
        <v>1617</v>
      </c>
      <c r="AO24" s="2" t="s">
        <v>48</v>
      </c>
      <c r="AQ24" s="194">
        <f t="shared" ca="1" si="4"/>
        <v>0</v>
      </c>
      <c r="AS24" s="196">
        <f ca="1">INDIRECT("'"&amp;AO24&amp;"'!"&amp;"$n$5")</f>
        <v>0</v>
      </c>
      <c r="AT24" s="24">
        <f t="shared" ca="1" si="3"/>
        <v>0</v>
      </c>
    </row>
    <row r="25" spans="1:46" x14ac:dyDescent="0.3">
      <c r="A25" s="121"/>
      <c r="B25" s="99" t="s">
        <v>65</v>
      </c>
      <c r="C25" s="81" t="s">
        <v>91</v>
      </c>
      <c r="D25" s="81" t="s">
        <v>91</v>
      </c>
      <c r="E25" s="82"/>
      <c r="F25" s="82"/>
      <c r="G25" s="81" t="s">
        <v>91</v>
      </c>
      <c r="H25" s="100" t="s">
        <v>91</v>
      </c>
      <c r="I25" s="120"/>
      <c r="J25" s="109" t="s">
        <v>91</v>
      </c>
      <c r="K25" s="77" t="s">
        <v>91</v>
      </c>
      <c r="L25" s="77"/>
      <c r="M25" s="77" t="s">
        <v>91</v>
      </c>
      <c r="N25" s="110" t="s">
        <v>91</v>
      </c>
      <c r="O25" s="120"/>
      <c r="P25" s="109">
        <v>4</v>
      </c>
      <c r="Q25" s="110">
        <v>4</v>
      </c>
      <c r="R25" s="121"/>
      <c r="T25" s="2" t="s">
        <v>73</v>
      </c>
      <c r="V25" s="194">
        <f t="shared" ca="1" si="6"/>
        <v>89096.503360000002</v>
      </c>
      <c r="W25" s="24">
        <f ca="1">INDIRECT("'"&amp;T25&amp;"'!"&amp;"$l$5")+INDIRECT("'"&amp;T25&amp;"'!"&amp;"$m$5")+INDIRECT("'"&amp;T25&amp;"'!"&amp;"$o$5")</f>
        <v>14230.144976697497</v>
      </c>
      <c r="Y25" s="24">
        <f t="shared" ca="1" si="0"/>
        <v>89096.503360000002</v>
      </c>
      <c r="AA25" s="2" t="s">
        <v>68</v>
      </c>
      <c r="AC25" s="194">
        <f ca="1">INDIRECT("'"&amp;AA25&amp;"'!"&amp;"$h$5")</f>
        <v>0</v>
      </c>
      <c r="AE25" s="196">
        <f ca="1">INDIRECT("'"&amp;AA25&amp;"'!"&amp;"$o$5")</f>
        <v>0</v>
      </c>
      <c r="AF25" s="24">
        <f t="shared" ca="1" si="1"/>
        <v>0</v>
      </c>
      <c r="AH25" s="2" t="s">
        <v>46</v>
      </c>
      <c r="AI25" s="195">
        <f ca="1">INDIRECT("'"&amp;AH25&amp;"'!"&amp;"$j$10")</f>
        <v>0</v>
      </c>
      <c r="AK25" s="24">
        <f ca="1">INDIRECT("'"&amp;AH25&amp;"'!"&amp;"$r$10")</f>
        <v>687</v>
      </c>
      <c r="AM25" s="24">
        <f t="shared" ca="1" si="2"/>
        <v>687</v>
      </c>
      <c r="AO25" s="2" t="s">
        <v>60</v>
      </c>
      <c r="AQ25" s="194">
        <f t="shared" ca="1" si="4"/>
        <v>0</v>
      </c>
      <c r="AR25" s="24">
        <f ca="1">INDIRECT("'"&amp;AO25&amp;"'!"&amp;"$n$5")</f>
        <v>0</v>
      </c>
      <c r="AT25" s="24">
        <f t="shared" ca="1" si="3"/>
        <v>0</v>
      </c>
    </row>
    <row r="26" spans="1:46" x14ac:dyDescent="0.3">
      <c r="A26" s="121"/>
      <c r="B26" s="99" t="s">
        <v>55</v>
      </c>
      <c r="C26" s="81" t="s">
        <v>91</v>
      </c>
      <c r="D26" s="82"/>
      <c r="E26" s="82"/>
      <c r="F26" s="82"/>
      <c r="G26" s="82"/>
      <c r="H26" s="100" t="s">
        <v>91</v>
      </c>
      <c r="I26" s="120"/>
      <c r="J26" s="111" t="s">
        <v>91</v>
      </c>
      <c r="K26" s="198"/>
      <c r="L26" s="198"/>
      <c r="M26" s="83" t="s">
        <v>91</v>
      </c>
      <c r="N26" s="112" t="s">
        <v>91</v>
      </c>
      <c r="O26" s="120"/>
      <c r="P26" s="133">
        <v>2</v>
      </c>
      <c r="Q26" s="134">
        <v>3</v>
      </c>
      <c r="R26" s="121"/>
      <c r="T26" s="2" t="s">
        <v>61</v>
      </c>
      <c r="V26" s="194">
        <f t="shared" ca="1" si="6"/>
        <v>89711.410212000003</v>
      </c>
      <c r="X26" s="196">
        <f ca="1">INDIRECT("'"&amp;T26&amp;"'!"&amp;"$l$5")+INDIRECT("'"&amp;T26&amp;"'!"&amp;"$m$5")+INDIRECT("'"&amp;T26&amp;"'!"&amp;"$o$5")</f>
        <v>8186.7042000000001</v>
      </c>
      <c r="Y26" s="24">
        <f t="shared" ca="1" si="0"/>
        <v>89711.410212000003</v>
      </c>
      <c r="AA26" s="2" t="s">
        <v>60</v>
      </c>
      <c r="AC26" s="194">
        <f ca="1">INDIRECT("'"&amp;AA26&amp;"'!"&amp;"$h$5")</f>
        <v>0</v>
      </c>
      <c r="AD26" s="24">
        <f ca="1">INDIRECT("'"&amp;AA26&amp;"'!"&amp;"$o$5")</f>
        <v>0</v>
      </c>
      <c r="AF26" s="24">
        <f t="shared" ca="1" si="1"/>
        <v>0</v>
      </c>
      <c r="AH26" s="2" t="s">
        <v>60</v>
      </c>
      <c r="AJ26" s="194">
        <f ca="1">INDIRECT("'"&amp;AH26&amp;"'!"&amp;"$i$10")</f>
        <v>0</v>
      </c>
      <c r="AK26" s="24">
        <f ca="1">INDIRECT("'"&amp;AH26&amp;"'!"&amp;"$p$10")</f>
        <v>540</v>
      </c>
      <c r="AM26" s="24">
        <f t="shared" ca="1" si="2"/>
        <v>540</v>
      </c>
      <c r="AO26" s="2" t="s">
        <v>73</v>
      </c>
      <c r="AQ26" s="194">
        <f t="shared" ca="1" si="4"/>
        <v>0</v>
      </c>
      <c r="AR26" s="24">
        <f ca="1">INDIRECT("'"&amp;AO26&amp;"'!"&amp;"$n$5")</f>
        <v>0</v>
      </c>
      <c r="AT26" s="24">
        <f t="shared" ca="1" si="3"/>
        <v>0</v>
      </c>
    </row>
    <row r="27" spans="1:46" x14ac:dyDescent="0.3">
      <c r="A27" s="121"/>
      <c r="B27" s="99" t="s">
        <v>66</v>
      </c>
      <c r="C27" s="81" t="s">
        <v>91</v>
      </c>
      <c r="D27" s="81" t="s">
        <v>91</v>
      </c>
      <c r="E27" s="82"/>
      <c r="F27" s="82"/>
      <c r="G27" s="82"/>
      <c r="H27" s="101"/>
      <c r="I27" s="120"/>
      <c r="J27" s="111" t="s">
        <v>91</v>
      </c>
      <c r="K27" s="198"/>
      <c r="L27" s="198"/>
      <c r="M27" s="83" t="s">
        <v>91</v>
      </c>
      <c r="N27" s="112" t="s">
        <v>91</v>
      </c>
      <c r="O27" s="120"/>
      <c r="P27" s="133">
        <v>2</v>
      </c>
      <c r="Q27" s="134">
        <v>3</v>
      </c>
      <c r="R27" s="121"/>
      <c r="T27" s="2" t="s">
        <v>60</v>
      </c>
      <c r="V27" s="194">
        <f t="shared" ca="1" si="6"/>
        <v>89003.774160000001</v>
      </c>
      <c r="W27" s="24">
        <f ca="1">INDIRECT("'"&amp;T27&amp;"'!"&amp;"$l$5")+INDIRECT("'"&amp;T27&amp;"'!"&amp;"$m$5")+INDIRECT("'"&amp;T27&amp;"'!"&amp;"$o$5")</f>
        <v>4320.6054362505529</v>
      </c>
      <c r="Y27" s="24">
        <f t="shared" ca="1" si="0"/>
        <v>89003.774160000001</v>
      </c>
      <c r="AA27" s="2" t="s">
        <v>73</v>
      </c>
      <c r="AC27" s="194">
        <f ca="1">INDIRECT("'"&amp;AA27&amp;"'!"&amp;"$h$5")</f>
        <v>0</v>
      </c>
      <c r="AD27" s="24">
        <f ca="1">INDIRECT("'"&amp;AA27&amp;"'!"&amp;"$o$5")</f>
        <v>0</v>
      </c>
      <c r="AF27" s="24">
        <f t="shared" ca="1" si="1"/>
        <v>0</v>
      </c>
      <c r="AH27" s="2" t="s">
        <v>73</v>
      </c>
      <c r="AJ27" s="194">
        <f ca="1">INDIRECT("'"&amp;AH27&amp;"'!"&amp;"$i$10")</f>
        <v>454.5454545454545</v>
      </c>
      <c r="AK27" s="24">
        <f ca="1">INDIRECT("'"&amp;AH27&amp;"'!"&amp;"$p$10")</f>
        <v>460</v>
      </c>
      <c r="AM27" s="24">
        <f t="shared" ca="1" si="2"/>
        <v>460</v>
      </c>
      <c r="AO27" s="2" t="s">
        <v>61</v>
      </c>
      <c r="AQ27" s="194">
        <f t="shared" ca="1" si="4"/>
        <v>0</v>
      </c>
      <c r="AS27" s="196">
        <f ca="1">INDIRECT("'"&amp;AO27&amp;"'!"&amp;"$n$5")</f>
        <v>0</v>
      </c>
      <c r="AT27" s="24">
        <f t="shared" ca="1" si="3"/>
        <v>0</v>
      </c>
    </row>
    <row r="28" spans="1:46" ht="13.5" thickBot="1" x14ac:dyDescent="0.35">
      <c r="A28" s="121"/>
      <c r="B28" s="102" t="s">
        <v>75</v>
      </c>
      <c r="C28" s="103" t="s">
        <v>91</v>
      </c>
      <c r="D28" s="104"/>
      <c r="E28" s="104"/>
      <c r="F28" s="104"/>
      <c r="G28" s="103" t="s">
        <v>91</v>
      </c>
      <c r="H28" s="105" t="s">
        <v>91</v>
      </c>
      <c r="I28" s="120"/>
      <c r="J28" s="113" t="s">
        <v>91</v>
      </c>
      <c r="K28" s="199"/>
      <c r="L28" s="199"/>
      <c r="M28" s="115" t="s">
        <v>91</v>
      </c>
      <c r="N28" s="116" t="s">
        <v>91</v>
      </c>
      <c r="O28" s="120"/>
      <c r="P28" s="86">
        <v>3</v>
      </c>
      <c r="Q28" s="88">
        <v>3</v>
      </c>
      <c r="R28" s="121"/>
      <c r="T28" s="2" t="s">
        <v>68</v>
      </c>
      <c r="V28" s="194">
        <f t="shared" ca="1" si="6"/>
        <v>89016.308640000003</v>
      </c>
      <c r="X28" s="196">
        <f ca="1">INDIRECT("'"&amp;T28&amp;"'!"&amp;"$l$5")+INDIRECT("'"&amp;T28&amp;"'!"&amp;"$m$5")+INDIRECT("'"&amp;T28&amp;"'!"&amp;"$o$5")</f>
        <v>2438.1000000000004</v>
      </c>
      <c r="Y28" s="24">
        <f t="shared" ca="1" si="0"/>
        <v>89016.308640000003</v>
      </c>
      <c r="AA28" s="2" t="s">
        <v>66</v>
      </c>
      <c r="AC28" s="194">
        <f ca="1">INDIRECT("'"&amp;AA28&amp;"'!"&amp;"$h$5")</f>
        <v>0</v>
      </c>
      <c r="AE28" s="196">
        <f ca="1">INDIRECT("'"&amp;AA28&amp;"'!"&amp;"$o$5")</f>
        <v>0</v>
      </c>
      <c r="AF28" s="24">
        <f t="shared" ca="1" si="1"/>
        <v>0</v>
      </c>
      <c r="AH28" s="2" t="s">
        <v>59</v>
      </c>
      <c r="AJ28" s="194">
        <f ca="1">INDIRECT("'"&amp;AH28&amp;"'!"&amp;"$i$10")</f>
        <v>0</v>
      </c>
      <c r="AL28" s="196">
        <f ca="1">INDIRECT("'"&amp;AH28&amp;"'!"&amp;"$p$10")</f>
        <v>0</v>
      </c>
      <c r="AM28" s="24">
        <f t="shared" ca="1" si="2"/>
        <v>0</v>
      </c>
      <c r="AO28" s="2" t="s">
        <v>49</v>
      </c>
      <c r="AP28" s="195">
        <f ca="1">INDIRECT("'"&amp;AO28&amp;"'!"&amp;"$e$5")</f>
        <v>0</v>
      </c>
      <c r="AR28" s="24">
        <f ca="1">INDIRECT("'"&amp;AO28&amp;"'!"&amp;"$p$5")</f>
        <v>0</v>
      </c>
      <c r="AT28" s="24">
        <f t="shared" ca="1" si="3"/>
        <v>0</v>
      </c>
    </row>
    <row r="29" spans="1:46" x14ac:dyDescent="0.3">
      <c r="A29" s="121"/>
      <c r="B29" s="122"/>
      <c r="C29" s="123"/>
      <c r="D29" s="124"/>
      <c r="E29" s="124"/>
      <c r="F29" s="124"/>
      <c r="G29" s="124"/>
      <c r="H29" s="124"/>
      <c r="I29" s="124"/>
      <c r="J29" s="124"/>
      <c r="K29" s="121"/>
      <c r="L29" s="121"/>
      <c r="M29" s="121"/>
      <c r="N29" s="121"/>
      <c r="O29" s="121"/>
      <c r="P29" s="135"/>
      <c r="Q29" s="135"/>
      <c r="R29" s="121"/>
    </row>
    <row r="30" spans="1:46" ht="13.5" thickBot="1" x14ac:dyDescent="0.35">
      <c r="A30" s="121"/>
      <c r="B30" s="125"/>
      <c r="C30" s="126" t="s">
        <v>95</v>
      </c>
      <c r="D30" s="78"/>
      <c r="E30" s="124"/>
      <c r="F30" s="126" t="s">
        <v>45</v>
      </c>
      <c r="G30" s="82"/>
      <c r="H30" s="124"/>
      <c r="I30" s="124"/>
      <c r="J30" s="127" t="s">
        <v>96</v>
      </c>
      <c r="K30" s="114"/>
      <c r="L30" s="121"/>
      <c r="M30" s="128" t="s">
        <v>40</v>
      </c>
      <c r="N30" s="129"/>
      <c r="O30" s="121"/>
      <c r="P30" s="135"/>
      <c r="Q30" s="135"/>
      <c r="R30" s="121"/>
    </row>
    <row r="31" spans="1:46" x14ac:dyDescent="0.3">
      <c r="A31" s="121"/>
    </row>
    <row r="33" spans="1:23" s="24" customFormat="1" x14ac:dyDescent="0.3">
      <c r="A33" s="2"/>
      <c r="B33" s="12"/>
      <c r="C33" s="12"/>
      <c r="K33" s="2"/>
      <c r="L33" s="2"/>
      <c r="M33" s="2"/>
      <c r="N33" s="2"/>
      <c r="O33" s="2"/>
      <c r="P33" s="136"/>
      <c r="Q33" s="136"/>
      <c r="R33" s="2"/>
      <c r="S33" s="2"/>
      <c r="T33" s="2"/>
      <c r="U33" s="2"/>
      <c r="V33" s="2"/>
      <c r="W33" s="2"/>
    </row>
    <row r="34" spans="1:23" s="24" customFormat="1" x14ac:dyDescent="0.3">
      <c r="A34" s="2"/>
      <c r="B34" s="12"/>
      <c r="C34" s="12"/>
      <c r="K34" s="2"/>
      <c r="L34" s="2"/>
      <c r="M34" s="2"/>
      <c r="N34" s="2"/>
      <c r="O34" s="2"/>
      <c r="P34" s="136"/>
      <c r="Q34" s="136"/>
      <c r="R34" s="2"/>
      <c r="S34" s="2"/>
      <c r="T34" s="2"/>
      <c r="U34" s="2"/>
      <c r="V34" s="2"/>
      <c r="W34" s="2"/>
    </row>
    <row r="35" spans="1:23" s="24" customFormat="1" x14ac:dyDescent="0.3">
      <c r="A35" s="2"/>
      <c r="B35" s="12"/>
      <c r="C35" s="12"/>
      <c r="K35" s="2"/>
      <c r="L35" s="2"/>
      <c r="M35" s="2"/>
      <c r="N35" s="2"/>
      <c r="O35" s="2"/>
      <c r="P35" s="136"/>
      <c r="Q35" s="136"/>
      <c r="R35" s="2"/>
      <c r="S35" s="2"/>
      <c r="T35" s="2"/>
      <c r="U35" s="2"/>
      <c r="V35" s="2"/>
      <c r="W35" s="2"/>
    </row>
    <row r="36" spans="1:23" s="24" customFormat="1" x14ac:dyDescent="0.3">
      <c r="A36" s="2"/>
      <c r="B36" s="13"/>
      <c r="C36" s="13"/>
      <c r="K36" s="2"/>
      <c r="L36" s="2"/>
      <c r="M36" s="2"/>
      <c r="N36" s="2"/>
      <c r="O36" s="2"/>
      <c r="P36" s="136"/>
      <c r="Q36" s="136"/>
      <c r="R36" s="2"/>
      <c r="S36" s="2"/>
      <c r="T36" s="2"/>
      <c r="U36" s="2"/>
      <c r="V36" s="2"/>
      <c r="W36" s="2"/>
    </row>
    <row r="37" spans="1:23" s="24" customFormat="1" x14ac:dyDescent="0.3">
      <c r="A37" s="2"/>
      <c r="B37" s="12"/>
      <c r="C37" s="12"/>
      <c r="K37" s="2"/>
      <c r="L37" s="2"/>
      <c r="M37" s="2"/>
      <c r="N37" s="2"/>
      <c r="O37" s="2"/>
      <c r="P37" s="136"/>
      <c r="Q37" s="136"/>
      <c r="R37" s="2"/>
      <c r="S37" s="2"/>
      <c r="T37" s="2"/>
      <c r="U37" s="2"/>
      <c r="V37" s="2"/>
      <c r="W37" s="2"/>
    </row>
    <row r="38" spans="1:23" s="24" customFormat="1" x14ac:dyDescent="0.3">
      <c r="A38" s="2"/>
      <c r="B38" s="6"/>
      <c r="C38" s="6"/>
      <c r="K38" s="2"/>
      <c r="L38" s="2"/>
      <c r="M38" s="2"/>
      <c r="N38" s="2"/>
      <c r="O38" s="2"/>
      <c r="P38" s="136"/>
      <c r="Q38" s="136"/>
      <c r="R38" s="2"/>
      <c r="S38" s="2"/>
      <c r="T38" s="2"/>
      <c r="U38" s="2"/>
      <c r="V38" s="2"/>
      <c r="W38" s="2"/>
    </row>
    <row r="39" spans="1:23" s="24" customFormat="1" x14ac:dyDescent="0.3">
      <c r="A39" s="2"/>
      <c r="B39" s="6"/>
      <c r="C39" s="6"/>
      <c r="K39" s="2"/>
      <c r="L39" s="2"/>
      <c r="M39" s="2"/>
      <c r="N39" s="2"/>
      <c r="O39" s="2"/>
      <c r="P39" s="136"/>
      <c r="Q39" s="136"/>
      <c r="R39" s="2"/>
      <c r="S39" s="2"/>
      <c r="T39" s="2"/>
      <c r="U39" s="2"/>
      <c r="V39" s="2"/>
      <c r="W39" s="2"/>
    </row>
    <row r="40" spans="1:23" s="24" customFormat="1" x14ac:dyDescent="0.3">
      <c r="A40" s="2"/>
      <c r="B40" s="6"/>
      <c r="C40" s="6"/>
      <c r="K40" s="2"/>
      <c r="L40" s="2"/>
      <c r="M40" s="2"/>
      <c r="N40" s="2"/>
      <c r="O40" s="2"/>
      <c r="P40" s="136"/>
      <c r="Q40" s="136"/>
      <c r="R40" s="2"/>
      <c r="S40" s="2"/>
      <c r="T40" s="2"/>
      <c r="U40" s="2"/>
      <c r="V40" s="2"/>
      <c r="W40" s="2"/>
    </row>
    <row r="41" spans="1:23" s="24" customFormat="1" x14ac:dyDescent="0.3">
      <c r="A41" s="2"/>
      <c r="B41" s="6"/>
      <c r="C41" s="6"/>
      <c r="K41" s="2"/>
      <c r="L41" s="2"/>
      <c r="M41" s="2"/>
      <c r="N41" s="2"/>
      <c r="O41" s="2"/>
      <c r="P41" s="136"/>
      <c r="Q41" s="136"/>
      <c r="R41" s="2"/>
      <c r="S41" s="2"/>
      <c r="T41" s="2"/>
      <c r="U41" s="2"/>
      <c r="V41" s="2"/>
      <c r="W41" s="2"/>
    </row>
    <row r="42" spans="1:23" s="24" customFormat="1" x14ac:dyDescent="0.3">
      <c r="A42" s="2"/>
      <c r="B42" s="6"/>
      <c r="C42" s="6"/>
      <c r="K42" s="2"/>
      <c r="L42" s="2"/>
      <c r="M42" s="2"/>
      <c r="N42" s="2"/>
      <c r="O42" s="2"/>
      <c r="P42" s="136"/>
      <c r="Q42" s="136"/>
      <c r="R42" s="2"/>
      <c r="S42" s="2"/>
      <c r="T42" s="2"/>
      <c r="U42" s="2"/>
      <c r="V42" s="2"/>
      <c r="W42" s="2"/>
    </row>
    <row r="43" spans="1:23" s="24" customFormat="1" x14ac:dyDescent="0.3">
      <c r="A43" s="2"/>
      <c r="B43" s="12"/>
      <c r="C43" s="12"/>
      <c r="K43" s="2"/>
      <c r="L43" s="2"/>
      <c r="M43" s="2"/>
      <c r="N43" s="2"/>
      <c r="O43" s="2"/>
      <c r="P43" s="136"/>
      <c r="Q43" s="136"/>
      <c r="R43" s="2"/>
      <c r="S43" s="2"/>
      <c r="T43" s="2"/>
      <c r="U43" s="2"/>
      <c r="V43" s="2"/>
      <c r="W43" s="2"/>
    </row>
    <row r="44" spans="1:23" s="24" customFormat="1" x14ac:dyDescent="0.3">
      <c r="A44" s="2"/>
      <c r="B44" s="12"/>
      <c r="C44" s="12"/>
      <c r="K44" s="2"/>
      <c r="L44" s="2"/>
      <c r="M44" s="2"/>
      <c r="N44" s="2"/>
      <c r="O44" s="2"/>
      <c r="P44" s="136"/>
      <c r="Q44" s="136"/>
      <c r="R44" s="2"/>
      <c r="S44" s="2"/>
      <c r="T44" s="2"/>
      <c r="U44" s="2"/>
      <c r="V44" s="2"/>
      <c r="W44" s="2"/>
    </row>
    <row r="45" spans="1:23" s="24" customFormat="1" x14ac:dyDescent="0.3">
      <c r="A45" s="2"/>
      <c r="B45" s="12"/>
      <c r="C45" s="12"/>
      <c r="K45" s="2"/>
      <c r="L45" s="2"/>
      <c r="M45" s="2"/>
      <c r="N45" s="2"/>
      <c r="O45" s="2"/>
      <c r="P45" s="136"/>
      <c r="Q45" s="136"/>
      <c r="R45" s="2"/>
      <c r="S45" s="2"/>
      <c r="T45" s="2"/>
      <c r="U45" s="2"/>
      <c r="V45" s="2"/>
      <c r="W45" s="2"/>
    </row>
    <row r="46" spans="1:23" s="24" customFormat="1" x14ac:dyDescent="0.3">
      <c r="A46" s="2"/>
      <c r="B46" s="13"/>
      <c r="C46" s="13"/>
      <c r="K46" s="2"/>
      <c r="L46" s="2"/>
      <c r="M46" s="2"/>
      <c r="N46" s="2"/>
      <c r="O46" s="2"/>
      <c r="P46" s="136"/>
      <c r="Q46" s="136"/>
      <c r="R46" s="2"/>
      <c r="S46" s="2"/>
      <c r="T46" s="2"/>
      <c r="U46" s="2"/>
      <c r="V46" s="2"/>
      <c r="W46" s="2"/>
    </row>
    <row r="47" spans="1:23" s="24" customFormat="1" x14ac:dyDescent="0.3">
      <c r="A47" s="2"/>
      <c r="B47" s="14"/>
      <c r="C47" s="14"/>
      <c r="K47" s="2"/>
      <c r="L47" s="2"/>
      <c r="M47" s="2"/>
      <c r="N47" s="2"/>
      <c r="O47" s="2"/>
      <c r="P47" s="136"/>
      <c r="Q47" s="136"/>
      <c r="R47" s="2"/>
      <c r="S47" s="2"/>
      <c r="T47" s="2"/>
      <c r="U47" s="2"/>
      <c r="V47" s="2"/>
      <c r="W47" s="2"/>
    </row>
    <row r="48" spans="1:23" s="24" customFormat="1" x14ac:dyDescent="0.3">
      <c r="A48" s="2"/>
      <c r="B48" s="14"/>
      <c r="C48" s="14"/>
      <c r="K48" s="2"/>
      <c r="L48" s="2"/>
      <c r="M48" s="2"/>
      <c r="N48" s="2"/>
      <c r="O48" s="2"/>
      <c r="P48" s="136"/>
      <c r="Q48" s="136"/>
      <c r="R48" s="2"/>
      <c r="S48" s="2"/>
      <c r="T48" s="2"/>
      <c r="U48" s="2"/>
      <c r="V48" s="2"/>
      <c r="W48" s="2"/>
    </row>
    <row r="49" spans="1:23" s="24" customFormat="1" x14ac:dyDescent="0.3">
      <c r="A49" s="2"/>
      <c r="B49" s="14"/>
      <c r="C49" s="14"/>
      <c r="K49" s="2"/>
      <c r="L49" s="2"/>
      <c r="M49" s="2"/>
      <c r="N49" s="2"/>
      <c r="O49" s="2"/>
      <c r="P49" s="136"/>
      <c r="Q49" s="136"/>
      <c r="R49" s="2"/>
      <c r="S49" s="2"/>
      <c r="T49" s="2"/>
      <c r="U49" s="2"/>
      <c r="V49" s="2"/>
      <c r="W49" s="2"/>
    </row>
    <row r="50" spans="1:23" s="24" customFormat="1" x14ac:dyDescent="0.3">
      <c r="A50" s="2"/>
      <c r="B50" s="14"/>
      <c r="C50" s="14"/>
      <c r="K50" s="2"/>
      <c r="L50" s="2"/>
      <c r="M50" s="2"/>
      <c r="N50" s="2"/>
      <c r="O50" s="2"/>
      <c r="P50" s="136"/>
      <c r="Q50" s="136"/>
      <c r="R50" s="2"/>
      <c r="S50" s="2"/>
      <c r="T50" s="2"/>
      <c r="U50" s="2"/>
      <c r="V50" s="2"/>
      <c r="W50" s="2"/>
    </row>
    <row r="51" spans="1:23" s="24" customFormat="1" x14ac:dyDescent="0.3">
      <c r="A51" s="2"/>
      <c r="B51" s="14"/>
      <c r="C51" s="14"/>
      <c r="K51" s="2"/>
      <c r="L51" s="2"/>
      <c r="M51" s="2"/>
      <c r="N51" s="2"/>
      <c r="O51" s="2"/>
      <c r="P51" s="136"/>
      <c r="Q51" s="136"/>
      <c r="R51" s="2"/>
      <c r="S51" s="2"/>
      <c r="T51" s="2"/>
      <c r="U51" s="2"/>
      <c r="V51" s="2"/>
      <c r="W51" s="2"/>
    </row>
    <row r="52" spans="1:23" s="24" customFormat="1" x14ac:dyDescent="0.3">
      <c r="A52" s="2"/>
      <c r="B52" s="14"/>
      <c r="C52" s="14"/>
      <c r="K52" s="2"/>
      <c r="L52" s="2"/>
      <c r="M52" s="2"/>
      <c r="N52" s="2"/>
      <c r="O52" s="2"/>
      <c r="P52" s="136"/>
      <c r="Q52" s="136"/>
      <c r="R52" s="2"/>
      <c r="S52" s="2"/>
      <c r="T52" s="2"/>
      <c r="U52" s="2"/>
      <c r="V52" s="2"/>
      <c r="W52" s="2"/>
    </row>
    <row r="53" spans="1:23" s="24" customFormat="1" x14ac:dyDescent="0.3">
      <c r="A53" s="2"/>
      <c r="B53" s="14"/>
      <c r="C53" s="14"/>
      <c r="K53" s="2"/>
      <c r="L53" s="2"/>
      <c r="M53" s="2"/>
      <c r="N53" s="2"/>
      <c r="O53" s="2"/>
      <c r="P53" s="136"/>
      <c r="Q53" s="136"/>
      <c r="R53" s="2"/>
      <c r="S53" s="2"/>
      <c r="T53" s="2"/>
      <c r="U53" s="2"/>
      <c r="V53" s="2"/>
      <c r="W53" s="2"/>
    </row>
    <row r="54" spans="1:23" s="24" customFormat="1" x14ac:dyDescent="0.3">
      <c r="A54" s="2"/>
      <c r="B54" s="12"/>
      <c r="C54" s="12"/>
      <c r="K54" s="2"/>
      <c r="L54" s="2"/>
      <c r="M54" s="2"/>
      <c r="N54" s="2"/>
      <c r="O54" s="2"/>
      <c r="P54" s="136"/>
      <c r="Q54" s="136"/>
      <c r="R54" s="2"/>
      <c r="S54" s="2"/>
      <c r="T54" s="2"/>
      <c r="U54" s="2"/>
      <c r="V54" s="2"/>
      <c r="W54" s="2"/>
    </row>
  </sheetData>
  <sortState ref="AO4:AT28">
    <sortCondition descending="1" ref="AT4:AT28"/>
  </sortState>
  <mergeCells count="2">
    <mergeCell ref="C2:H2"/>
    <mergeCell ref="J2:N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4"/>
  <sheetViews>
    <sheetView tabSelected="1" zoomScale="70" zoomScaleNormal="70" workbookViewId="0">
      <selection activeCell="C11" sqref="C11"/>
    </sheetView>
  </sheetViews>
  <sheetFormatPr defaultRowHeight="13" x14ac:dyDescent="0.3"/>
  <cols>
    <col min="1" max="1" width="3.26953125" style="2" customWidth="1"/>
    <col min="2" max="2" width="22.26953125" style="1" customWidth="1"/>
    <col min="3" max="3" width="7.81640625" style="12" customWidth="1"/>
    <col min="4" max="4" width="8.81640625" style="24" customWidth="1"/>
    <col min="5" max="5" width="6.81640625" style="24" customWidth="1"/>
    <col min="6" max="10" width="7.81640625" style="24" customWidth="1"/>
    <col min="11" max="11" width="2.453125" style="2" customWidth="1"/>
    <col min="12" max="16384" width="8.7265625" style="2"/>
  </cols>
  <sheetData>
    <row r="1" spans="2:27" ht="13.5" customHeight="1" thickBot="1" x14ac:dyDescent="0.35">
      <c r="B1" s="23" t="s">
        <v>37</v>
      </c>
    </row>
    <row r="2" spans="2:27" ht="13.5" customHeight="1" thickBot="1" x14ac:dyDescent="0.35">
      <c r="C2" s="208" t="s">
        <v>38</v>
      </c>
      <c r="D2" s="209"/>
      <c r="E2" s="209"/>
      <c r="F2" s="209"/>
      <c r="G2" s="209"/>
      <c r="H2" s="209"/>
      <c r="I2" s="209"/>
      <c r="J2" s="210"/>
      <c r="L2" s="211" t="s">
        <v>40</v>
      </c>
      <c r="M2" s="212"/>
      <c r="N2" s="212"/>
      <c r="O2" s="212"/>
      <c r="P2" s="212"/>
      <c r="Q2" s="212"/>
      <c r="R2" s="213"/>
    </row>
    <row r="3" spans="2:27" ht="39.5" customHeight="1" x14ac:dyDescent="0.3">
      <c r="B3" s="3" t="s">
        <v>0</v>
      </c>
      <c r="C3" s="25" t="s">
        <v>30</v>
      </c>
      <c r="D3" s="26" t="s">
        <v>23</v>
      </c>
      <c r="E3" s="26" t="s">
        <v>25</v>
      </c>
      <c r="F3" s="26" t="s">
        <v>26</v>
      </c>
      <c r="G3" s="26" t="s">
        <v>31</v>
      </c>
      <c r="H3" s="26" t="s">
        <v>32</v>
      </c>
      <c r="I3" s="27" t="s">
        <v>33</v>
      </c>
      <c r="J3" s="28" t="s">
        <v>27</v>
      </c>
      <c r="L3" s="25" t="s">
        <v>41</v>
      </c>
      <c r="M3" s="25" t="s">
        <v>39</v>
      </c>
      <c r="N3" s="26" t="s">
        <v>23</v>
      </c>
      <c r="O3" s="26" t="s">
        <v>24</v>
      </c>
      <c r="P3" s="28" t="s">
        <v>25</v>
      </c>
      <c r="Q3" s="27" t="s">
        <v>33</v>
      </c>
      <c r="R3" s="28" t="s">
        <v>27</v>
      </c>
      <c r="V3" s="24"/>
      <c r="W3" s="24"/>
      <c r="X3" s="24"/>
      <c r="Y3" s="24"/>
      <c r="Z3" s="24"/>
      <c r="AA3" s="24"/>
    </row>
    <row r="4" spans="2:27" ht="13.5" customHeight="1" thickBot="1" x14ac:dyDescent="0.35">
      <c r="B4" s="4">
        <v>2013</v>
      </c>
      <c r="C4" s="29" t="s">
        <v>29</v>
      </c>
      <c r="D4" s="30" t="s">
        <v>29</v>
      </c>
      <c r="E4" s="30" t="s">
        <v>29</v>
      </c>
      <c r="F4" s="30" t="s">
        <v>29</v>
      </c>
      <c r="G4" s="30" t="s">
        <v>29</v>
      </c>
      <c r="H4" s="30" t="s">
        <v>29</v>
      </c>
      <c r="I4" s="31" t="s">
        <v>29</v>
      </c>
      <c r="J4" s="32" t="s">
        <v>28</v>
      </c>
      <c r="L4" s="29" t="s">
        <v>29</v>
      </c>
      <c r="M4" s="29" t="s">
        <v>29</v>
      </c>
      <c r="N4" s="30" t="s">
        <v>29</v>
      </c>
      <c r="O4" s="30" t="s">
        <v>29</v>
      </c>
      <c r="P4" s="32" t="s">
        <v>29</v>
      </c>
      <c r="Q4" s="31" t="s">
        <v>29</v>
      </c>
      <c r="R4" s="32" t="s">
        <v>28</v>
      </c>
      <c r="V4" s="24"/>
      <c r="W4" s="24"/>
      <c r="X4" s="24"/>
      <c r="Y4" s="24"/>
      <c r="Z4" s="24"/>
      <c r="AA4" s="24"/>
    </row>
    <row r="5" spans="2:27" ht="13.5" customHeight="1" x14ac:dyDescent="0.3">
      <c r="B5" s="5" t="s">
        <v>1</v>
      </c>
      <c r="C5" s="45">
        <v>551930</v>
      </c>
      <c r="D5" s="35">
        <v>88966.503360000002</v>
      </c>
      <c r="E5" s="35">
        <v>191861</v>
      </c>
      <c r="F5" s="35">
        <v>0</v>
      </c>
      <c r="G5" s="35">
        <v>0</v>
      </c>
      <c r="H5" s="35">
        <v>0</v>
      </c>
      <c r="I5" s="36">
        <v>39541</v>
      </c>
      <c r="J5" s="37"/>
      <c r="L5" s="49">
        <f>SUM(N5:Q5)</f>
        <v>562715.46713188</v>
      </c>
      <c r="M5" s="49">
        <f>SUM(N5:O5,Q5)</f>
        <v>318362.40713188</v>
      </c>
      <c r="N5" s="74">
        <v>25062.595607499996</v>
      </c>
      <c r="O5" s="74">
        <v>250862.91152437998</v>
      </c>
      <c r="P5" s="75">
        <v>244353.06000000003</v>
      </c>
      <c r="Q5" s="33">
        <v>42436.9</v>
      </c>
      <c r="R5" s="34">
        <v>0</v>
      </c>
      <c r="V5" s="24"/>
      <c r="W5" s="24"/>
      <c r="X5" s="24"/>
      <c r="Y5" s="24"/>
      <c r="Z5" s="24"/>
      <c r="AA5" s="24"/>
    </row>
    <row r="6" spans="2:27" ht="13.5" customHeight="1" x14ac:dyDescent="0.3">
      <c r="B6" s="7" t="s">
        <v>2</v>
      </c>
      <c r="C6" s="17">
        <v>3804</v>
      </c>
      <c r="D6" s="41"/>
      <c r="E6" s="41"/>
      <c r="F6" s="41"/>
      <c r="G6" s="41"/>
      <c r="H6" s="41"/>
      <c r="I6" s="33"/>
      <c r="J6" s="34"/>
      <c r="L6" s="49">
        <f>SUM(N6:Q6)</f>
        <v>391.24171439999998</v>
      </c>
      <c r="M6" s="49"/>
      <c r="N6" s="41">
        <v>0</v>
      </c>
      <c r="O6" s="41"/>
      <c r="P6" s="34"/>
      <c r="Q6" s="33">
        <v>391.24171439999998</v>
      </c>
      <c r="R6" s="34">
        <v>1295143</v>
      </c>
      <c r="V6" s="24"/>
      <c r="W6" s="24"/>
      <c r="X6" s="24"/>
      <c r="Y6" s="24"/>
      <c r="Z6" s="24"/>
      <c r="AA6" s="24"/>
    </row>
    <row r="7" spans="2:27" ht="13.5" customHeight="1" x14ac:dyDescent="0.3">
      <c r="B7" s="7" t="s">
        <v>3</v>
      </c>
      <c r="C7" s="17">
        <v>34047</v>
      </c>
      <c r="D7" s="41"/>
      <c r="E7" s="41"/>
      <c r="F7" s="41"/>
      <c r="G7" s="41"/>
      <c r="H7" s="41"/>
      <c r="I7" s="33"/>
      <c r="J7" s="34"/>
      <c r="L7" s="49">
        <f>SUM(N7:Q7)</f>
        <v>28375.999898400001</v>
      </c>
      <c r="M7" s="49"/>
      <c r="N7" s="41">
        <v>0</v>
      </c>
      <c r="O7" s="41"/>
      <c r="P7" s="34"/>
      <c r="Q7" s="33">
        <v>28375.999898400001</v>
      </c>
      <c r="R7" s="34">
        <v>970</v>
      </c>
      <c r="V7" s="24"/>
      <c r="W7" s="24"/>
      <c r="X7" s="24"/>
      <c r="Y7" s="24"/>
      <c r="Z7" s="24"/>
      <c r="AA7" s="24"/>
    </row>
    <row r="8" spans="2:27" ht="13.5" customHeight="1" x14ac:dyDescent="0.3">
      <c r="B8" s="7" t="s">
        <v>4</v>
      </c>
      <c r="C8" s="17">
        <v>0</v>
      </c>
      <c r="D8" s="41"/>
      <c r="E8" s="41"/>
      <c r="F8" s="41"/>
      <c r="G8" s="41"/>
      <c r="H8" s="41"/>
      <c r="I8" s="33"/>
      <c r="J8" s="34"/>
      <c r="L8" s="49"/>
      <c r="M8" s="49"/>
      <c r="N8" s="21"/>
      <c r="O8" s="21"/>
      <c r="P8" s="16"/>
      <c r="Q8" s="15"/>
      <c r="R8" s="16"/>
      <c r="V8" s="24"/>
      <c r="W8" s="24"/>
      <c r="X8" s="24"/>
      <c r="Y8" s="24"/>
      <c r="Z8" s="24"/>
      <c r="AA8" s="24"/>
    </row>
    <row r="9" spans="2:27" ht="13.5" customHeight="1" x14ac:dyDescent="0.3">
      <c r="B9" s="7" t="s">
        <v>5</v>
      </c>
      <c r="C9" s="17"/>
      <c r="D9" s="41"/>
      <c r="E9" s="41"/>
      <c r="F9" s="41"/>
      <c r="G9" s="41"/>
      <c r="H9" s="41"/>
      <c r="I9" s="33"/>
      <c r="J9" s="34"/>
      <c r="L9" s="49"/>
      <c r="M9" s="49"/>
      <c r="N9" s="21"/>
      <c r="O9" s="21"/>
      <c r="P9" s="16"/>
      <c r="Q9" s="15"/>
      <c r="R9" s="16"/>
      <c r="V9" s="24"/>
      <c r="W9" s="24"/>
      <c r="X9" s="24"/>
      <c r="Y9" s="24"/>
      <c r="Z9" s="24"/>
      <c r="AA9" s="24"/>
    </row>
    <row r="10" spans="2:27" ht="13.5" customHeight="1" thickBot="1" x14ac:dyDescent="0.35">
      <c r="B10" s="46" t="s">
        <v>6</v>
      </c>
      <c r="C10" s="47">
        <f>SUM(D10:H10)</f>
        <v>88966.503360000002</v>
      </c>
      <c r="D10" s="38">
        <f>D5+D6-D7+D8</f>
        <v>88966.503360000002</v>
      </c>
      <c r="E10" s="38"/>
      <c r="F10" s="38"/>
      <c r="G10" s="38"/>
      <c r="H10" s="38">
        <f>H5</f>
        <v>0</v>
      </c>
      <c r="I10" s="39"/>
      <c r="J10" s="40"/>
      <c r="L10" s="51">
        <f>SUM(N10:Q10)</f>
        <v>534730.70894787996</v>
      </c>
      <c r="M10" s="51"/>
      <c r="N10" s="53">
        <v>25062.595607499996</v>
      </c>
      <c r="O10" s="53">
        <v>250862.91152437998</v>
      </c>
      <c r="P10" s="54">
        <v>244353.06000000003</v>
      </c>
      <c r="Q10" s="52">
        <v>14452.141815999999</v>
      </c>
      <c r="R10" s="54">
        <v>1294173</v>
      </c>
      <c r="V10" s="24"/>
      <c r="W10" s="24"/>
      <c r="X10" s="24"/>
      <c r="Y10" s="24"/>
      <c r="Z10" s="24"/>
      <c r="AA10" s="24"/>
    </row>
    <row r="11" spans="2:27" ht="13.5" customHeight="1" thickBot="1" x14ac:dyDescent="0.35">
      <c r="B11" s="8" t="s">
        <v>7</v>
      </c>
      <c r="C11" s="19">
        <v>0</v>
      </c>
      <c r="D11" s="38"/>
      <c r="E11" s="38"/>
      <c r="F11" s="38"/>
      <c r="G11" s="38"/>
      <c r="H11" s="38"/>
      <c r="I11" s="39"/>
      <c r="J11" s="40"/>
      <c r="L11" s="55">
        <f>SUM(N11:Q11)</f>
        <v>9054.541815999999</v>
      </c>
      <c r="M11" s="55"/>
      <c r="N11" s="67"/>
      <c r="O11" s="67"/>
      <c r="P11" s="68"/>
      <c r="Q11" s="43">
        <v>9054.541815999999</v>
      </c>
      <c r="R11" s="44">
        <v>77650.380000000121</v>
      </c>
      <c r="V11" s="24"/>
      <c r="W11" s="24"/>
      <c r="X11" s="24"/>
      <c r="Y11" s="24"/>
      <c r="Z11" s="24"/>
      <c r="AA11" s="24"/>
    </row>
    <row r="12" spans="2:27" ht="13.5" customHeight="1" x14ac:dyDescent="0.3">
      <c r="B12" s="7" t="s">
        <v>8</v>
      </c>
      <c r="C12" s="17">
        <v>39323</v>
      </c>
      <c r="I12" s="33"/>
      <c r="J12" s="34"/>
      <c r="L12" s="49"/>
      <c r="M12" s="49"/>
      <c r="N12" s="41"/>
      <c r="O12" s="41"/>
      <c r="P12" s="34"/>
      <c r="Q12" s="33"/>
      <c r="R12" s="34"/>
      <c r="V12" s="24"/>
      <c r="W12" s="24"/>
      <c r="X12" s="24"/>
      <c r="Y12" s="24"/>
      <c r="Z12" s="24"/>
      <c r="AA12" s="24"/>
    </row>
    <row r="13" spans="2:27" ht="13.5" customHeight="1" x14ac:dyDescent="0.3">
      <c r="B13" s="7" t="s">
        <v>9</v>
      </c>
      <c r="C13" s="17">
        <f>SUM(D13:H13)</f>
        <v>0</v>
      </c>
      <c r="I13" s="33"/>
      <c r="J13" s="34"/>
      <c r="L13" s="18"/>
      <c r="M13" s="18"/>
      <c r="N13" s="21"/>
      <c r="O13" s="21"/>
      <c r="P13" s="16"/>
      <c r="Q13" s="15"/>
      <c r="R13" s="16"/>
      <c r="V13" s="24"/>
      <c r="W13" s="24"/>
      <c r="X13" s="24"/>
      <c r="Y13" s="24"/>
      <c r="Z13" s="24"/>
      <c r="AA13" s="24"/>
    </row>
    <row r="14" spans="2:27" ht="13.5" customHeight="1" x14ac:dyDescent="0.3">
      <c r="B14" s="7" t="s">
        <v>10</v>
      </c>
      <c r="C14" s="17">
        <v>0</v>
      </c>
      <c r="I14" s="33"/>
      <c r="J14" s="34"/>
      <c r="L14" s="18"/>
      <c r="M14" s="18"/>
      <c r="N14" s="21"/>
      <c r="O14" s="21"/>
      <c r="P14" s="16"/>
      <c r="Q14" s="15"/>
      <c r="R14" s="16"/>
      <c r="U14" s="24"/>
      <c r="V14" s="24"/>
      <c r="W14" s="24"/>
      <c r="X14" s="24"/>
      <c r="Y14" s="24"/>
      <c r="Z14" s="24"/>
      <c r="AA14" s="24"/>
    </row>
    <row r="15" spans="2:27" ht="13.5" customHeight="1" x14ac:dyDescent="0.3">
      <c r="B15" s="7" t="s">
        <v>11</v>
      </c>
      <c r="C15" s="17">
        <v>0</v>
      </c>
      <c r="I15" s="33"/>
      <c r="J15" s="34"/>
      <c r="L15" s="18"/>
      <c r="M15" s="18"/>
      <c r="N15" s="21"/>
      <c r="O15" s="21"/>
      <c r="P15" s="16"/>
      <c r="Q15" s="15"/>
      <c r="R15" s="16"/>
      <c r="U15" s="24"/>
      <c r="V15" s="24"/>
      <c r="W15" s="24"/>
      <c r="X15" s="24"/>
      <c r="Y15" s="24"/>
      <c r="Z15" s="24"/>
      <c r="AA15" s="24"/>
    </row>
    <row r="16" spans="2:27" ht="13.5" customHeight="1" x14ac:dyDescent="0.3">
      <c r="B16" s="7" t="s">
        <v>34</v>
      </c>
      <c r="C16" s="17"/>
      <c r="I16" s="33"/>
      <c r="J16" s="34"/>
      <c r="L16" s="18"/>
      <c r="M16" s="18"/>
      <c r="N16" s="21"/>
      <c r="O16" s="21"/>
      <c r="P16" s="16"/>
      <c r="Q16" s="15"/>
      <c r="R16" s="16"/>
      <c r="U16" s="24"/>
      <c r="V16" s="24"/>
      <c r="W16" s="24"/>
      <c r="X16" s="24"/>
      <c r="Y16" s="24"/>
      <c r="Z16" s="24"/>
      <c r="AA16" s="24"/>
    </row>
    <row r="17" spans="2:27" ht="13.5" customHeight="1" x14ac:dyDescent="0.3">
      <c r="B17" s="7" t="s">
        <v>12</v>
      </c>
      <c r="C17" s="17">
        <v>0</v>
      </c>
      <c r="I17" s="33"/>
      <c r="J17" s="34"/>
      <c r="L17" s="18"/>
      <c r="M17" s="18"/>
      <c r="N17" s="21"/>
      <c r="O17" s="21"/>
      <c r="P17" s="16"/>
      <c r="Q17" s="15"/>
      <c r="R17" s="16"/>
      <c r="U17" s="24"/>
      <c r="V17" s="24"/>
      <c r="W17" s="24"/>
      <c r="X17" s="24"/>
      <c r="Y17" s="24"/>
      <c r="Z17" s="24"/>
      <c r="AA17" s="24"/>
    </row>
    <row r="18" spans="2:27" ht="13.5" customHeight="1" x14ac:dyDescent="0.3">
      <c r="B18" s="7" t="s">
        <v>13</v>
      </c>
      <c r="C18" s="17">
        <v>0</v>
      </c>
      <c r="I18" s="33"/>
      <c r="J18" s="34"/>
      <c r="L18" s="18"/>
      <c r="M18" s="18"/>
      <c r="N18" s="21"/>
      <c r="O18" s="21"/>
      <c r="P18" s="16"/>
      <c r="Q18" s="15"/>
      <c r="R18" s="16"/>
      <c r="U18" s="24"/>
      <c r="V18" s="24"/>
      <c r="W18" s="24"/>
      <c r="X18" s="24"/>
      <c r="Y18" s="24"/>
      <c r="Z18" s="24"/>
      <c r="AA18" s="24"/>
    </row>
    <row r="19" spans="2:27" ht="13.5" customHeight="1" thickBot="1" x14ac:dyDescent="0.35">
      <c r="B19" s="7" t="s">
        <v>14</v>
      </c>
      <c r="C19" s="17">
        <v>0</v>
      </c>
      <c r="I19" s="33"/>
      <c r="J19" s="34"/>
      <c r="L19" s="18"/>
      <c r="M19" s="18"/>
      <c r="N19" s="21"/>
      <c r="O19" s="21"/>
      <c r="P19" s="16"/>
      <c r="Q19" s="15"/>
      <c r="R19" s="16"/>
      <c r="U19" s="24"/>
      <c r="V19" s="24"/>
      <c r="W19" s="24"/>
      <c r="X19" s="24"/>
      <c r="Y19" s="24"/>
      <c r="Z19" s="24"/>
      <c r="AA19" s="24"/>
    </row>
    <row r="20" spans="2:27" ht="13.5" customHeight="1" x14ac:dyDescent="0.3">
      <c r="B20" s="9" t="s">
        <v>15</v>
      </c>
      <c r="C20" s="20">
        <f>SUM(D20:H20)</f>
        <v>0</v>
      </c>
      <c r="D20" s="35">
        <f>SUM(D21:D26)</f>
        <v>0</v>
      </c>
      <c r="E20" s="35"/>
      <c r="F20" s="35"/>
      <c r="G20" s="35"/>
      <c r="H20" s="35">
        <f>H25</f>
        <v>0</v>
      </c>
      <c r="I20" s="36"/>
      <c r="J20" s="37"/>
      <c r="L20" s="56">
        <f>SUM(N20:Q20)</f>
        <v>525676.16713187995</v>
      </c>
      <c r="M20" s="56"/>
      <c r="N20" s="58">
        <f t="shared" ref="N20:Q20" si="0">SUM(N21:N26)</f>
        <v>25062.595607499996</v>
      </c>
      <c r="O20" s="58">
        <f t="shared" si="0"/>
        <v>250862.91152437998</v>
      </c>
      <c r="P20" s="58">
        <f t="shared" si="0"/>
        <v>244353.06000000003</v>
      </c>
      <c r="Q20" s="57">
        <f t="shared" si="0"/>
        <v>5397.6</v>
      </c>
      <c r="R20" s="59">
        <v>1216522.6199999999</v>
      </c>
      <c r="U20" s="24"/>
      <c r="V20" s="24"/>
      <c r="W20" s="24"/>
      <c r="X20" s="24"/>
      <c r="Y20" s="24"/>
      <c r="Z20" s="24"/>
      <c r="AA20" s="24"/>
    </row>
    <row r="21" spans="2:27" ht="13.5" customHeight="1" x14ac:dyDescent="0.3">
      <c r="B21" s="7" t="s">
        <v>16</v>
      </c>
      <c r="C21" s="17">
        <v>332973</v>
      </c>
      <c r="D21" s="41"/>
      <c r="E21" s="41"/>
      <c r="F21" s="41"/>
      <c r="G21" s="41"/>
      <c r="H21" s="41"/>
      <c r="I21" s="33"/>
      <c r="J21" s="34"/>
      <c r="L21" s="49">
        <f>SUM(N21:Q21)</f>
        <v>495215.97152438003</v>
      </c>
      <c r="M21" s="49"/>
      <c r="N21" s="41"/>
      <c r="O21" s="41">
        <v>250862.91152437998</v>
      </c>
      <c r="P21" s="41">
        <v>244353.06000000003</v>
      </c>
      <c r="Q21" s="33"/>
      <c r="R21" s="34"/>
      <c r="U21" s="24"/>
    </row>
    <row r="22" spans="2:27" ht="13.5" customHeight="1" x14ac:dyDescent="0.3">
      <c r="B22" s="7" t="s">
        <v>17</v>
      </c>
      <c r="C22" s="17">
        <v>0</v>
      </c>
      <c r="D22" s="41"/>
      <c r="E22" s="41"/>
      <c r="F22" s="41"/>
      <c r="G22" s="41"/>
      <c r="H22" s="41"/>
      <c r="I22" s="33"/>
      <c r="J22" s="34"/>
      <c r="L22" s="18"/>
      <c r="M22" s="18"/>
      <c r="N22" s="21"/>
      <c r="O22" s="21"/>
      <c r="P22" s="21"/>
      <c r="Q22" s="15"/>
      <c r="R22" s="16"/>
      <c r="U22" s="24"/>
    </row>
    <row r="23" spans="2:27" ht="13.5" customHeight="1" x14ac:dyDescent="0.3">
      <c r="B23" s="7" t="s">
        <v>18</v>
      </c>
      <c r="C23" s="17">
        <v>0</v>
      </c>
      <c r="D23" s="41"/>
      <c r="E23" s="41"/>
      <c r="F23" s="41"/>
      <c r="G23" s="41"/>
      <c r="H23" s="41"/>
      <c r="I23" s="33"/>
      <c r="J23" s="34"/>
      <c r="L23" s="18"/>
      <c r="M23" s="18"/>
      <c r="N23" s="21"/>
      <c r="O23" s="21"/>
      <c r="P23" s="21"/>
      <c r="Q23" s="15"/>
      <c r="R23" s="16"/>
      <c r="U23" s="24"/>
    </row>
    <row r="24" spans="2:27" ht="13.5" customHeight="1" x14ac:dyDescent="0.3">
      <c r="B24" s="7" t="s">
        <v>19</v>
      </c>
      <c r="C24" s="17">
        <v>0</v>
      </c>
      <c r="D24" s="41"/>
      <c r="E24" s="41"/>
      <c r="F24" s="41"/>
      <c r="G24" s="41"/>
      <c r="H24" s="41"/>
      <c r="I24" s="33"/>
      <c r="J24" s="34"/>
      <c r="L24" s="49"/>
      <c r="M24" s="49"/>
      <c r="N24" s="41"/>
      <c r="O24" s="41"/>
      <c r="P24" s="41"/>
      <c r="Q24" s="33"/>
      <c r="R24" s="34"/>
    </row>
    <row r="25" spans="2:27" ht="13.5" customHeight="1" x14ac:dyDescent="0.3">
      <c r="B25" s="7" t="s">
        <v>20</v>
      </c>
      <c r="C25" s="17">
        <v>149391</v>
      </c>
      <c r="D25" s="41"/>
      <c r="E25" s="41"/>
      <c r="F25" s="41"/>
      <c r="G25" s="41"/>
      <c r="H25" s="41"/>
      <c r="I25" s="33"/>
      <c r="J25" s="34"/>
      <c r="L25" s="49">
        <f t="shared" ref="L25" si="1">SUM(N25:Q25)</f>
        <v>30460.195607499998</v>
      </c>
      <c r="M25" s="49"/>
      <c r="N25" s="41">
        <v>25062.595607499996</v>
      </c>
      <c r="O25" s="41"/>
      <c r="P25" s="41"/>
      <c r="Q25" s="33">
        <v>5397.6</v>
      </c>
      <c r="R25" s="34">
        <v>1216522.6199999999</v>
      </c>
    </row>
    <row r="26" spans="2:27" ht="13.5" customHeight="1" thickBot="1" x14ac:dyDescent="0.35">
      <c r="B26" s="8" t="s">
        <v>21</v>
      </c>
      <c r="C26" s="19">
        <v>0</v>
      </c>
      <c r="D26" s="38"/>
      <c r="E26" s="38"/>
      <c r="F26" s="38"/>
      <c r="G26" s="38"/>
      <c r="H26" s="38"/>
      <c r="I26" s="39"/>
      <c r="J26" s="40"/>
      <c r="L26" s="50"/>
      <c r="M26" s="50"/>
      <c r="N26" s="38"/>
      <c r="O26" s="38"/>
      <c r="P26" s="38"/>
      <c r="Q26" s="39"/>
      <c r="R26" s="40"/>
    </row>
    <row r="27" spans="2:27" ht="13.5" customHeight="1" thickBot="1" x14ac:dyDescent="0.35">
      <c r="B27" s="10" t="s">
        <v>22</v>
      </c>
      <c r="C27" s="22"/>
      <c r="D27" s="42"/>
      <c r="E27" s="42"/>
      <c r="F27" s="42"/>
      <c r="G27" s="42"/>
      <c r="H27" s="42"/>
      <c r="I27" s="43"/>
      <c r="J27" s="44"/>
      <c r="N27" s="43">
        <v>14581.873807999998</v>
      </c>
      <c r="O27" s="42">
        <v>14581.873807999998</v>
      </c>
      <c r="P27" s="42">
        <v>12460</v>
      </c>
      <c r="Q27" s="43">
        <v>17300</v>
      </c>
      <c r="R27" s="44">
        <v>30000</v>
      </c>
    </row>
    <row r="28" spans="2:27" ht="15" customHeight="1" x14ac:dyDescent="0.3"/>
    <row r="30" spans="2:27" x14ac:dyDescent="0.3">
      <c r="B30" s="11"/>
      <c r="C30" s="13"/>
    </row>
    <row r="33" spans="2:3" x14ac:dyDescent="0.3">
      <c r="B33" s="12"/>
    </row>
    <row r="34" spans="2:3" x14ac:dyDescent="0.3">
      <c r="B34" s="12"/>
    </row>
    <row r="35" spans="2:3" x14ac:dyDescent="0.3">
      <c r="B35" s="12"/>
    </row>
    <row r="36" spans="2:3" x14ac:dyDescent="0.3">
      <c r="B36" s="13"/>
      <c r="C36" s="13"/>
    </row>
    <row r="37" spans="2:3" x14ac:dyDescent="0.3">
      <c r="B37" s="12"/>
    </row>
    <row r="38" spans="2:3" x14ac:dyDescent="0.3">
      <c r="B38" s="6"/>
      <c r="C38" s="6"/>
    </row>
    <row r="39" spans="2:3" x14ac:dyDescent="0.3">
      <c r="B39" s="6"/>
      <c r="C39" s="6"/>
    </row>
    <row r="40" spans="2:3" x14ac:dyDescent="0.3">
      <c r="B40" s="6"/>
      <c r="C40" s="6"/>
    </row>
    <row r="41" spans="2:3" x14ac:dyDescent="0.3">
      <c r="B41" s="6"/>
      <c r="C41" s="6"/>
    </row>
    <row r="42" spans="2:3" x14ac:dyDescent="0.3">
      <c r="B42" s="6"/>
      <c r="C42" s="6"/>
    </row>
    <row r="43" spans="2:3" x14ac:dyDescent="0.3">
      <c r="B43" s="12"/>
    </row>
    <row r="44" spans="2:3" x14ac:dyDescent="0.3">
      <c r="B44" s="12"/>
    </row>
    <row r="45" spans="2:3" x14ac:dyDescent="0.3">
      <c r="B45" s="12"/>
    </row>
    <row r="46" spans="2:3" x14ac:dyDescent="0.3">
      <c r="B46" s="13"/>
      <c r="C46" s="13"/>
    </row>
    <row r="47" spans="2:3" x14ac:dyDescent="0.3">
      <c r="B47" s="14"/>
      <c r="C47" s="14"/>
    </row>
    <row r="48" spans="2:3" x14ac:dyDescent="0.3">
      <c r="B48" s="14"/>
      <c r="C48" s="14"/>
    </row>
    <row r="49" spans="2:3" x14ac:dyDescent="0.3">
      <c r="B49" s="14"/>
      <c r="C49" s="14"/>
    </row>
    <row r="50" spans="2:3" x14ac:dyDescent="0.3">
      <c r="B50" s="14"/>
      <c r="C50" s="14"/>
    </row>
    <row r="51" spans="2:3" x14ac:dyDescent="0.3">
      <c r="B51" s="14"/>
      <c r="C51" s="14"/>
    </row>
    <row r="52" spans="2:3" x14ac:dyDescent="0.3">
      <c r="B52" s="14"/>
      <c r="C52" s="14"/>
    </row>
    <row r="53" spans="2:3" x14ac:dyDescent="0.3">
      <c r="B53" s="14"/>
      <c r="C53" s="14"/>
    </row>
    <row r="54" spans="2:3" x14ac:dyDescent="0.3">
      <c r="B54" s="12"/>
    </row>
  </sheetData>
  <mergeCells count="2">
    <mergeCell ref="C2:J2"/>
    <mergeCell ref="L2:R2"/>
  </mergeCells>
  <printOptions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4"/>
  <sheetViews>
    <sheetView tabSelected="1" zoomScale="70" zoomScaleNormal="70" workbookViewId="0">
      <selection activeCell="C11" sqref="C11"/>
    </sheetView>
  </sheetViews>
  <sheetFormatPr defaultRowHeight="13" x14ac:dyDescent="0.3"/>
  <cols>
    <col min="1" max="1" width="3.26953125" style="2" customWidth="1"/>
    <col min="2" max="2" width="22.26953125" style="1" customWidth="1"/>
    <col min="3" max="3" width="7.81640625" style="12" customWidth="1"/>
    <col min="4" max="4" width="8.81640625" style="24" customWidth="1"/>
    <col min="5" max="5" width="6.81640625" style="24" customWidth="1"/>
    <col min="6" max="10" width="7.81640625" style="24" customWidth="1"/>
    <col min="11" max="11" width="2.453125" style="2" customWidth="1"/>
    <col min="12" max="16384" width="8.7265625" style="2"/>
  </cols>
  <sheetData>
    <row r="1" spans="2:27" ht="13.5" customHeight="1" thickBot="1" x14ac:dyDescent="0.35">
      <c r="B1" s="23" t="s">
        <v>52</v>
      </c>
    </row>
    <row r="2" spans="2:27" ht="13.5" customHeight="1" thickBot="1" x14ac:dyDescent="0.35">
      <c r="C2" s="208" t="s">
        <v>38</v>
      </c>
      <c r="D2" s="209"/>
      <c r="E2" s="209"/>
      <c r="F2" s="209"/>
      <c r="G2" s="209"/>
      <c r="H2" s="209"/>
      <c r="I2" s="209"/>
      <c r="J2" s="210"/>
      <c r="L2" s="211" t="s">
        <v>40</v>
      </c>
      <c r="M2" s="212"/>
      <c r="N2" s="212"/>
      <c r="O2" s="212"/>
      <c r="P2" s="212"/>
      <c r="Q2" s="212"/>
      <c r="R2" s="213"/>
    </row>
    <row r="3" spans="2:27" ht="39.5" customHeight="1" x14ac:dyDescent="0.3">
      <c r="B3" s="3" t="s">
        <v>0</v>
      </c>
      <c r="C3" s="25" t="s">
        <v>30</v>
      </c>
      <c r="D3" s="26" t="s">
        <v>23</v>
      </c>
      <c r="E3" s="26" t="s">
        <v>25</v>
      </c>
      <c r="F3" s="26" t="s">
        <v>26</v>
      </c>
      <c r="G3" s="26" t="s">
        <v>31</v>
      </c>
      <c r="H3" s="26" t="s">
        <v>32</v>
      </c>
      <c r="I3" s="27" t="s">
        <v>33</v>
      </c>
      <c r="J3" s="28" t="s">
        <v>27</v>
      </c>
      <c r="L3" s="25" t="s">
        <v>41</v>
      </c>
      <c r="M3" s="25" t="s">
        <v>39</v>
      </c>
      <c r="N3" s="26" t="s">
        <v>23</v>
      </c>
      <c r="O3" s="26" t="s">
        <v>24</v>
      </c>
      <c r="P3" s="28" t="s">
        <v>25</v>
      </c>
      <c r="Q3" s="27" t="s">
        <v>33</v>
      </c>
      <c r="R3" s="28" t="s">
        <v>27</v>
      </c>
      <c r="V3" s="24"/>
      <c r="W3" s="24"/>
      <c r="X3" s="24"/>
      <c r="Y3" s="24"/>
      <c r="Z3" s="24"/>
      <c r="AA3" s="24"/>
    </row>
    <row r="4" spans="2:27" ht="13.5" customHeight="1" thickBot="1" x14ac:dyDescent="0.35">
      <c r="B4" s="4">
        <v>2013</v>
      </c>
      <c r="C4" s="29" t="s">
        <v>29</v>
      </c>
      <c r="D4" s="30" t="s">
        <v>29</v>
      </c>
      <c r="E4" s="30" t="s">
        <v>29</v>
      </c>
      <c r="F4" s="30" t="s">
        <v>29</v>
      </c>
      <c r="G4" s="30" t="s">
        <v>29</v>
      </c>
      <c r="H4" s="30" t="s">
        <v>29</v>
      </c>
      <c r="I4" s="31" t="s">
        <v>29</v>
      </c>
      <c r="J4" s="32" t="s">
        <v>28</v>
      </c>
      <c r="L4" s="29" t="s">
        <v>29</v>
      </c>
      <c r="M4" s="29" t="s">
        <v>29</v>
      </c>
      <c r="N4" s="30" t="s">
        <v>29</v>
      </c>
      <c r="O4" s="30" t="s">
        <v>29</v>
      </c>
      <c r="P4" s="32" t="s">
        <v>29</v>
      </c>
      <c r="Q4" s="31" t="s">
        <v>29</v>
      </c>
      <c r="R4" s="32" t="s">
        <v>28</v>
      </c>
      <c r="V4" s="24"/>
      <c r="W4" s="24"/>
      <c r="X4" s="24"/>
      <c r="Y4" s="24"/>
      <c r="Z4" s="24"/>
      <c r="AA4" s="24"/>
    </row>
    <row r="5" spans="2:27" ht="13.5" customHeight="1" x14ac:dyDescent="0.3">
      <c r="B5" s="5" t="s">
        <v>1</v>
      </c>
      <c r="C5" s="45">
        <v>456457</v>
      </c>
      <c r="D5" s="35">
        <v>88966.503360000002</v>
      </c>
      <c r="E5" s="35">
        <v>33674</v>
      </c>
      <c r="F5" s="35">
        <v>0</v>
      </c>
      <c r="G5" s="35">
        <v>5614</v>
      </c>
      <c r="H5" s="35">
        <v>0</v>
      </c>
      <c r="I5" s="36">
        <v>35280</v>
      </c>
      <c r="J5" s="37"/>
      <c r="L5" s="49">
        <f>SUM(N5:Q5)</f>
        <v>525501.82322324545</v>
      </c>
      <c r="M5" s="49">
        <f>SUM(N5:O5,Q5)</f>
        <v>482431.33927284385</v>
      </c>
      <c r="N5" s="74">
        <v>234101.25735802218</v>
      </c>
      <c r="O5" s="74">
        <v>210140.02051482166</v>
      </c>
      <c r="P5" s="75">
        <v>43070.483950401605</v>
      </c>
      <c r="Q5" s="33">
        <v>38190.061399999999</v>
      </c>
      <c r="R5" s="34">
        <v>2000</v>
      </c>
      <c r="V5" s="24"/>
      <c r="W5" s="24"/>
      <c r="X5" s="24"/>
      <c r="Y5" s="24"/>
      <c r="Z5" s="24"/>
      <c r="AA5" s="24"/>
    </row>
    <row r="6" spans="2:27" ht="13.5" customHeight="1" x14ac:dyDescent="0.3">
      <c r="B6" s="7" t="s">
        <v>2</v>
      </c>
      <c r="C6" s="17">
        <v>0</v>
      </c>
      <c r="D6" s="41"/>
      <c r="E6" s="41"/>
      <c r="F6" s="41"/>
      <c r="G6" s="41"/>
      <c r="H6" s="41"/>
      <c r="I6" s="33"/>
      <c r="J6" s="34"/>
      <c r="L6" s="49">
        <f>SUM(N6:Q6)</f>
        <v>12262.511624653704</v>
      </c>
      <c r="M6" s="49"/>
      <c r="N6" s="41">
        <v>5562.3201656018437</v>
      </c>
      <c r="O6" s="41"/>
      <c r="P6" s="34"/>
      <c r="Q6" s="33">
        <v>6700.1914590518609</v>
      </c>
      <c r="R6" s="34">
        <v>218139.60068719799</v>
      </c>
      <c r="V6" s="24"/>
      <c r="W6" s="24"/>
      <c r="X6" s="24"/>
      <c r="Y6" s="24"/>
      <c r="Z6" s="24"/>
      <c r="AA6" s="24"/>
    </row>
    <row r="7" spans="2:27" ht="13.5" customHeight="1" x14ac:dyDescent="0.3">
      <c r="B7" s="7" t="s">
        <v>3</v>
      </c>
      <c r="C7" s="17">
        <v>0</v>
      </c>
      <c r="D7" s="41"/>
      <c r="E7" s="41"/>
      <c r="F7" s="41"/>
      <c r="G7" s="41"/>
      <c r="H7" s="41"/>
      <c r="I7" s="33"/>
      <c r="J7" s="34"/>
      <c r="L7" s="49">
        <f>SUM(N7:Q7)</f>
        <v>12350.457936010604</v>
      </c>
      <c r="M7" s="49"/>
      <c r="N7" s="41">
        <v>811.46522425491139</v>
      </c>
      <c r="O7" s="41"/>
      <c r="P7" s="34"/>
      <c r="Q7" s="33">
        <v>11538.992711755693</v>
      </c>
      <c r="R7" s="34">
        <v>12240.8999008462</v>
      </c>
      <c r="V7" s="24"/>
      <c r="W7" s="24"/>
      <c r="X7" s="24"/>
      <c r="Y7" s="24"/>
      <c r="Z7" s="24"/>
      <c r="AA7" s="24"/>
    </row>
    <row r="8" spans="2:27" ht="13.5" customHeight="1" x14ac:dyDescent="0.3">
      <c r="B8" s="7" t="s">
        <v>4</v>
      </c>
      <c r="C8" s="17">
        <v>0</v>
      </c>
      <c r="D8" s="41"/>
      <c r="E8" s="41"/>
      <c r="F8" s="41"/>
      <c r="G8" s="41"/>
      <c r="H8" s="41"/>
      <c r="I8" s="33"/>
      <c r="J8" s="34"/>
      <c r="L8" s="49"/>
      <c r="M8" s="49"/>
      <c r="N8" s="21"/>
      <c r="O8" s="21"/>
      <c r="P8" s="16"/>
      <c r="Q8" s="15"/>
      <c r="R8" s="16"/>
      <c r="V8" s="24"/>
      <c r="W8" s="24"/>
      <c r="X8" s="24"/>
      <c r="Y8" s="24"/>
      <c r="Z8" s="24"/>
      <c r="AA8" s="24"/>
    </row>
    <row r="9" spans="2:27" ht="13.5" customHeight="1" x14ac:dyDescent="0.3">
      <c r="B9" s="7" t="s">
        <v>5</v>
      </c>
      <c r="C9" s="17"/>
      <c r="D9" s="41"/>
      <c r="E9" s="41"/>
      <c r="F9" s="41"/>
      <c r="G9" s="41"/>
      <c r="H9" s="41"/>
      <c r="I9" s="33"/>
      <c r="J9" s="34"/>
      <c r="L9" s="49"/>
      <c r="M9" s="49"/>
      <c r="N9" s="21"/>
      <c r="O9" s="21"/>
      <c r="P9" s="16"/>
      <c r="Q9" s="15"/>
      <c r="R9" s="16"/>
      <c r="V9" s="24"/>
      <c r="W9" s="24"/>
      <c r="X9" s="24"/>
      <c r="Y9" s="24"/>
      <c r="Z9" s="24"/>
      <c r="AA9" s="24"/>
    </row>
    <row r="10" spans="2:27" ht="13.5" customHeight="1" thickBot="1" x14ac:dyDescent="0.35">
      <c r="B10" s="46" t="s">
        <v>6</v>
      </c>
      <c r="C10" s="47">
        <f>SUM(D10:H10)</f>
        <v>88966.503360000002</v>
      </c>
      <c r="D10" s="38">
        <f>D5+D6-D7+D8</f>
        <v>88966.503360000002</v>
      </c>
      <c r="E10" s="38"/>
      <c r="F10" s="38"/>
      <c r="G10" s="38"/>
      <c r="H10" s="38">
        <f>H5</f>
        <v>0</v>
      </c>
      <c r="I10" s="39"/>
      <c r="J10" s="40"/>
      <c r="L10" s="51">
        <f>SUM(N10:Q10)</f>
        <v>525413.8769118886</v>
      </c>
      <c r="M10" s="51"/>
      <c r="N10" s="53">
        <v>238852.11229936912</v>
      </c>
      <c r="O10" s="53">
        <v>210140.02051482166</v>
      </c>
      <c r="P10" s="54">
        <v>43070.483950401605</v>
      </c>
      <c r="Q10" s="52">
        <v>33351.260147296169</v>
      </c>
      <c r="R10" s="54">
        <v>207898.70078635178</v>
      </c>
      <c r="V10" s="24"/>
      <c r="W10" s="24"/>
      <c r="X10" s="24"/>
      <c r="Y10" s="24"/>
      <c r="Z10" s="24"/>
      <c r="AA10" s="24"/>
    </row>
    <row r="11" spans="2:27" ht="13.5" customHeight="1" thickBot="1" x14ac:dyDescent="0.35">
      <c r="B11" s="8" t="s">
        <v>7</v>
      </c>
      <c r="C11" s="19">
        <v>0</v>
      </c>
      <c r="D11" s="38"/>
      <c r="E11" s="38"/>
      <c r="F11" s="38"/>
      <c r="G11" s="38"/>
      <c r="H11" s="38"/>
      <c r="I11" s="39"/>
      <c r="J11" s="40"/>
      <c r="L11" s="55">
        <f>SUM(N11:Q11)</f>
        <v>3948.3321796434502</v>
      </c>
      <c r="M11" s="55"/>
      <c r="N11" s="67"/>
      <c r="O11" s="67"/>
      <c r="P11" s="68"/>
      <c r="Q11" s="43">
        <v>3948.3321796434502</v>
      </c>
      <c r="R11" s="44">
        <v>12473.922047181142</v>
      </c>
      <c r="V11" s="24"/>
      <c r="W11" s="24"/>
      <c r="X11" s="24"/>
      <c r="Y11" s="24"/>
      <c r="Z11" s="24"/>
      <c r="AA11" s="24"/>
    </row>
    <row r="12" spans="2:27" ht="13.5" customHeight="1" x14ac:dyDescent="0.3">
      <c r="B12" s="7" t="s">
        <v>8</v>
      </c>
      <c r="C12" s="17">
        <v>63289</v>
      </c>
      <c r="I12" s="33"/>
      <c r="J12" s="34"/>
      <c r="L12" s="49">
        <f>SUM(N12:Q12)</f>
        <v>66706.532189965306</v>
      </c>
      <c r="M12" s="49"/>
      <c r="N12" s="41">
        <v>17879.37890887641</v>
      </c>
      <c r="O12" s="41">
        <v>46571.073188455557</v>
      </c>
      <c r="P12" s="34"/>
      <c r="Q12" s="33">
        <v>2256.0800926333413</v>
      </c>
      <c r="R12" s="34"/>
      <c r="V12" s="24"/>
      <c r="W12" s="24"/>
      <c r="X12" s="24"/>
      <c r="Y12" s="24"/>
      <c r="Z12" s="24"/>
      <c r="AA12" s="24"/>
    </row>
    <row r="13" spans="2:27" ht="13.5" customHeight="1" x14ac:dyDescent="0.3">
      <c r="B13" s="7" t="s">
        <v>9</v>
      </c>
      <c r="C13" s="17">
        <f>SUM(D13:H13)</f>
        <v>0</v>
      </c>
      <c r="I13" s="33"/>
      <c r="J13" s="34"/>
      <c r="L13" s="18"/>
      <c r="M13" s="18"/>
      <c r="N13" s="21"/>
      <c r="O13" s="21"/>
      <c r="P13" s="16"/>
      <c r="Q13" s="15"/>
      <c r="R13" s="16"/>
      <c r="V13" s="24"/>
      <c r="W13" s="24"/>
      <c r="X13" s="24"/>
      <c r="Y13" s="24"/>
      <c r="Z13" s="24"/>
      <c r="AA13" s="24"/>
    </row>
    <row r="14" spans="2:27" ht="13.5" customHeight="1" x14ac:dyDescent="0.3">
      <c r="B14" s="7" t="s">
        <v>10</v>
      </c>
      <c r="C14" s="17">
        <v>11171</v>
      </c>
      <c r="I14" s="33"/>
      <c r="J14" s="34"/>
      <c r="L14" s="18"/>
      <c r="M14" s="18"/>
      <c r="N14" s="21"/>
      <c r="O14" s="21"/>
      <c r="P14" s="16"/>
      <c r="Q14" s="15"/>
      <c r="R14" s="16"/>
      <c r="U14" s="24"/>
      <c r="V14" s="24"/>
      <c r="W14" s="24"/>
      <c r="X14" s="24"/>
      <c r="Y14" s="24"/>
      <c r="Z14" s="24"/>
      <c r="AA14" s="24"/>
    </row>
    <row r="15" spans="2:27" ht="13.5" customHeight="1" x14ac:dyDescent="0.3">
      <c r="B15" s="7" t="s">
        <v>11</v>
      </c>
      <c r="C15" s="17">
        <v>0</v>
      </c>
      <c r="I15" s="33"/>
      <c r="J15" s="34"/>
      <c r="L15" s="18"/>
      <c r="M15" s="18"/>
      <c r="N15" s="21"/>
      <c r="O15" s="21"/>
      <c r="P15" s="16"/>
      <c r="Q15" s="15"/>
      <c r="R15" s="16"/>
      <c r="U15" s="24"/>
      <c r="V15" s="24"/>
      <c r="W15" s="24"/>
      <c r="X15" s="24"/>
      <c r="Y15" s="24"/>
      <c r="Z15" s="24"/>
      <c r="AA15" s="24"/>
    </row>
    <row r="16" spans="2:27" ht="13.5" customHeight="1" x14ac:dyDescent="0.3">
      <c r="B16" s="7" t="s">
        <v>34</v>
      </c>
      <c r="C16" s="17"/>
      <c r="I16" s="33"/>
      <c r="J16" s="34"/>
      <c r="L16" s="18"/>
      <c r="M16" s="18"/>
      <c r="N16" s="21"/>
      <c r="O16" s="21"/>
      <c r="P16" s="16"/>
      <c r="Q16" s="15"/>
      <c r="R16" s="16"/>
      <c r="U16" s="24"/>
      <c r="V16" s="24"/>
      <c r="W16" s="24"/>
      <c r="X16" s="24"/>
      <c r="Y16" s="24"/>
      <c r="Z16" s="24"/>
      <c r="AA16" s="24"/>
    </row>
    <row r="17" spans="2:27" ht="13.5" customHeight="1" x14ac:dyDescent="0.3">
      <c r="B17" s="7" t="s">
        <v>12</v>
      </c>
      <c r="C17" s="17">
        <v>0</v>
      </c>
      <c r="I17" s="33"/>
      <c r="J17" s="34"/>
      <c r="L17" s="18"/>
      <c r="M17" s="18"/>
      <c r="N17" s="21"/>
      <c r="O17" s="21"/>
      <c r="P17" s="16"/>
      <c r="Q17" s="15"/>
      <c r="R17" s="16"/>
      <c r="U17" s="24"/>
      <c r="V17" s="24"/>
      <c r="W17" s="24"/>
      <c r="X17" s="24"/>
      <c r="Y17" s="24"/>
      <c r="Z17" s="24"/>
      <c r="AA17" s="24"/>
    </row>
    <row r="18" spans="2:27" ht="13.5" customHeight="1" x14ac:dyDescent="0.3">
      <c r="B18" s="7" t="s">
        <v>13</v>
      </c>
      <c r="C18" s="17">
        <v>695</v>
      </c>
      <c r="I18" s="33"/>
      <c r="J18" s="34"/>
      <c r="L18" s="18"/>
      <c r="M18" s="18"/>
      <c r="N18" s="21"/>
      <c r="O18" s="21"/>
      <c r="P18" s="16"/>
      <c r="Q18" s="15"/>
      <c r="R18" s="16"/>
      <c r="U18" s="24"/>
      <c r="V18" s="24"/>
      <c r="W18" s="24"/>
      <c r="X18" s="24"/>
      <c r="Y18" s="24"/>
      <c r="Z18" s="24"/>
      <c r="AA18" s="24"/>
    </row>
    <row r="19" spans="2:27" ht="13.5" customHeight="1" thickBot="1" x14ac:dyDescent="0.35">
      <c r="B19" s="7" t="s">
        <v>14</v>
      </c>
      <c r="C19" s="17">
        <v>0</v>
      </c>
      <c r="I19" s="33"/>
      <c r="J19" s="34"/>
      <c r="L19" s="18"/>
      <c r="M19" s="18"/>
      <c r="N19" s="21"/>
      <c r="O19" s="21"/>
      <c r="P19" s="16"/>
      <c r="Q19" s="15"/>
      <c r="R19" s="16"/>
      <c r="U19" s="24"/>
      <c r="V19" s="24"/>
      <c r="W19" s="24"/>
      <c r="X19" s="24"/>
      <c r="Y19" s="24"/>
      <c r="Z19" s="24"/>
      <c r="AA19" s="24"/>
    </row>
    <row r="20" spans="2:27" ht="13.5" customHeight="1" x14ac:dyDescent="0.3">
      <c r="B20" s="9" t="s">
        <v>15</v>
      </c>
      <c r="C20" s="20">
        <f>SUM(D20:H20)</f>
        <v>0</v>
      </c>
      <c r="D20" s="35">
        <f>SUM(D21:D26)</f>
        <v>0</v>
      </c>
      <c r="E20" s="35"/>
      <c r="F20" s="35"/>
      <c r="G20" s="35"/>
      <c r="H20" s="35">
        <f>H25</f>
        <v>0</v>
      </c>
      <c r="I20" s="36"/>
      <c r="J20" s="37"/>
      <c r="L20" s="56">
        <f>SUM(N20:Q20)</f>
        <v>454759.01254227979</v>
      </c>
      <c r="M20" s="56"/>
      <c r="N20" s="58">
        <f t="shared" ref="N20:Q20" si="0">SUM(N21:N26)</f>
        <v>220972.73339049271</v>
      </c>
      <c r="O20" s="58">
        <f t="shared" si="0"/>
        <v>163568.94732636609</v>
      </c>
      <c r="P20" s="58">
        <f t="shared" si="0"/>
        <v>43070.483950401605</v>
      </c>
      <c r="Q20" s="57">
        <f t="shared" si="0"/>
        <v>27146.847875019375</v>
      </c>
      <c r="R20" s="59">
        <v>1216522.6199999999</v>
      </c>
      <c r="U20" s="24"/>
      <c r="V20" s="24"/>
      <c r="W20" s="24"/>
      <c r="X20" s="24"/>
      <c r="Y20" s="24"/>
      <c r="Z20" s="24"/>
      <c r="AA20" s="24"/>
    </row>
    <row r="21" spans="2:27" ht="13.5" customHeight="1" x14ac:dyDescent="0.3">
      <c r="B21" s="7" t="s">
        <v>16</v>
      </c>
      <c r="C21" s="17">
        <v>73659</v>
      </c>
      <c r="D21" s="41"/>
      <c r="E21" s="41"/>
      <c r="F21" s="41"/>
      <c r="G21" s="41"/>
      <c r="H21" s="41"/>
      <c r="I21" s="33"/>
      <c r="J21" s="34"/>
      <c r="L21" s="49">
        <f>SUM(N21:Q21)</f>
        <v>221605.94294085467</v>
      </c>
      <c r="M21" s="49"/>
      <c r="N21" s="41">
        <v>47852.931567032734</v>
      </c>
      <c r="O21" s="41">
        <v>124644.2837667053</v>
      </c>
      <c r="P21" s="41">
        <v>43070.483950401605</v>
      </c>
      <c r="Q21" s="33">
        <v>6038.2436567150698</v>
      </c>
      <c r="R21" s="34"/>
      <c r="U21" s="24"/>
    </row>
    <row r="22" spans="2:27" ht="13.5" customHeight="1" x14ac:dyDescent="0.3">
      <c r="B22" s="7" t="s">
        <v>17</v>
      </c>
      <c r="C22" s="17">
        <v>0</v>
      </c>
      <c r="D22" s="41"/>
      <c r="E22" s="41"/>
      <c r="F22" s="41"/>
      <c r="G22" s="41"/>
      <c r="H22" s="41"/>
      <c r="I22" s="33"/>
      <c r="J22" s="34"/>
      <c r="L22" s="18"/>
      <c r="M22" s="18"/>
      <c r="N22" s="21"/>
      <c r="O22" s="21"/>
      <c r="P22" s="21"/>
      <c r="Q22" s="15"/>
      <c r="R22" s="16"/>
      <c r="U22" s="24"/>
    </row>
    <row r="23" spans="2:27" ht="13.5" customHeight="1" x14ac:dyDescent="0.3">
      <c r="B23" s="7" t="s">
        <v>18</v>
      </c>
      <c r="C23" s="17">
        <v>0</v>
      </c>
      <c r="D23" s="41"/>
      <c r="E23" s="41"/>
      <c r="F23" s="41"/>
      <c r="G23" s="41"/>
      <c r="H23" s="41"/>
      <c r="I23" s="33"/>
      <c r="J23" s="34"/>
      <c r="L23" s="18"/>
      <c r="M23" s="18"/>
      <c r="N23" s="21"/>
      <c r="O23" s="21"/>
      <c r="P23" s="21"/>
      <c r="Q23" s="15"/>
      <c r="R23" s="16"/>
      <c r="U23" s="24"/>
    </row>
    <row r="24" spans="2:27" ht="13.5" customHeight="1" x14ac:dyDescent="0.3">
      <c r="B24" s="7" t="s">
        <v>19</v>
      </c>
      <c r="C24" s="17">
        <v>3961</v>
      </c>
      <c r="D24" s="41"/>
      <c r="E24" s="41"/>
      <c r="F24" s="41"/>
      <c r="G24" s="41"/>
      <c r="H24" s="41"/>
      <c r="I24" s="33"/>
      <c r="J24" s="34"/>
      <c r="L24" s="49"/>
      <c r="M24" s="49"/>
      <c r="N24" s="41"/>
      <c r="O24" s="41"/>
      <c r="P24" s="41"/>
      <c r="Q24" s="33"/>
      <c r="R24" s="34"/>
    </row>
    <row r="25" spans="2:27" ht="13.5" customHeight="1" x14ac:dyDescent="0.3">
      <c r="B25" s="7" t="s">
        <v>20</v>
      </c>
      <c r="C25" s="17">
        <v>235900</v>
      </c>
      <c r="D25" s="41"/>
      <c r="E25" s="41"/>
      <c r="F25" s="41"/>
      <c r="G25" s="41"/>
      <c r="H25" s="41"/>
      <c r="I25" s="33"/>
      <c r="J25" s="34"/>
      <c r="L25" s="49">
        <f t="shared" ref="L25" si="1">SUM(N25:Q25)</f>
        <v>233153.06960142509</v>
      </c>
      <c r="M25" s="49"/>
      <c r="N25" s="41">
        <v>173119.80182345997</v>
      </c>
      <c r="O25" s="41">
        <v>38924.66355966081</v>
      </c>
      <c r="P25" s="41"/>
      <c r="Q25" s="33">
        <v>21108.604218304306</v>
      </c>
      <c r="R25" s="34">
        <v>195424.77873917064</v>
      </c>
    </row>
    <row r="26" spans="2:27" ht="13.5" customHeight="1" thickBot="1" x14ac:dyDescent="0.35">
      <c r="B26" s="8" t="s">
        <v>21</v>
      </c>
      <c r="C26" s="19">
        <v>0</v>
      </c>
      <c r="D26" s="38"/>
      <c r="E26" s="38"/>
      <c r="F26" s="38"/>
      <c r="G26" s="38"/>
      <c r="H26" s="38"/>
      <c r="I26" s="39"/>
      <c r="J26" s="40"/>
      <c r="L26" s="50"/>
      <c r="M26" s="50"/>
      <c r="N26" s="38"/>
      <c r="O26" s="38"/>
      <c r="P26" s="38"/>
      <c r="Q26" s="39"/>
      <c r="R26" s="40"/>
    </row>
    <row r="27" spans="2:27" ht="13.5" customHeight="1" thickBot="1" x14ac:dyDescent="0.35">
      <c r="B27" s="10" t="s">
        <v>22</v>
      </c>
      <c r="C27" s="22"/>
      <c r="D27" s="42"/>
      <c r="E27" s="42"/>
      <c r="F27" s="42"/>
      <c r="G27" s="42"/>
      <c r="H27" s="42"/>
      <c r="I27" s="43"/>
      <c r="J27" s="44"/>
      <c r="N27" s="43">
        <v>14581.873807999998</v>
      </c>
      <c r="O27" s="42">
        <v>14581.873807999998</v>
      </c>
      <c r="P27" s="42">
        <v>12460</v>
      </c>
      <c r="Q27" s="43">
        <v>17300</v>
      </c>
      <c r="R27" s="44">
        <v>30000</v>
      </c>
    </row>
    <row r="28" spans="2:27" ht="15" customHeight="1" x14ac:dyDescent="0.3"/>
    <row r="30" spans="2:27" x14ac:dyDescent="0.3">
      <c r="B30" s="11"/>
      <c r="C30" s="13"/>
    </row>
    <row r="31" spans="2:27" x14ac:dyDescent="0.3">
      <c r="G31" s="2"/>
      <c r="H31" s="2"/>
      <c r="I31" s="2"/>
    </row>
    <row r="33" spans="2:3" x14ac:dyDescent="0.3">
      <c r="B33" s="12"/>
    </row>
    <row r="34" spans="2:3" x14ac:dyDescent="0.3">
      <c r="B34" s="12"/>
    </row>
    <row r="35" spans="2:3" x14ac:dyDescent="0.3">
      <c r="B35" s="12"/>
    </row>
    <row r="36" spans="2:3" x14ac:dyDescent="0.3">
      <c r="B36" s="13"/>
      <c r="C36" s="13"/>
    </row>
    <row r="37" spans="2:3" x14ac:dyDescent="0.3">
      <c r="B37" s="12"/>
    </row>
    <row r="38" spans="2:3" x14ac:dyDescent="0.3">
      <c r="B38" s="6"/>
      <c r="C38" s="6"/>
    </row>
    <row r="39" spans="2:3" x14ac:dyDescent="0.3">
      <c r="B39" s="6"/>
      <c r="C39" s="6"/>
    </row>
    <row r="40" spans="2:3" x14ac:dyDescent="0.3">
      <c r="B40" s="6"/>
      <c r="C40" s="6"/>
    </row>
    <row r="41" spans="2:3" x14ac:dyDescent="0.3">
      <c r="B41" s="6"/>
      <c r="C41" s="6"/>
    </row>
    <row r="42" spans="2:3" x14ac:dyDescent="0.3">
      <c r="B42" s="6"/>
      <c r="C42" s="6"/>
    </row>
    <row r="43" spans="2:3" x14ac:dyDescent="0.3">
      <c r="B43" s="12"/>
    </row>
    <row r="44" spans="2:3" x14ac:dyDescent="0.3">
      <c r="B44" s="12"/>
    </row>
    <row r="45" spans="2:3" x14ac:dyDescent="0.3">
      <c r="B45" s="12"/>
    </row>
    <row r="46" spans="2:3" x14ac:dyDescent="0.3">
      <c r="B46" s="13"/>
      <c r="C46" s="13"/>
    </row>
    <row r="47" spans="2:3" x14ac:dyDescent="0.3">
      <c r="B47" s="14"/>
      <c r="C47" s="14"/>
    </row>
    <row r="48" spans="2:3" x14ac:dyDescent="0.3">
      <c r="B48" s="14"/>
      <c r="C48" s="14"/>
    </row>
    <row r="49" spans="2:3" x14ac:dyDescent="0.3">
      <c r="B49" s="14"/>
      <c r="C49" s="14"/>
    </row>
    <row r="50" spans="2:3" x14ac:dyDescent="0.3">
      <c r="B50" s="14"/>
      <c r="C50" s="14"/>
    </row>
    <row r="51" spans="2:3" x14ac:dyDescent="0.3">
      <c r="B51" s="14"/>
      <c r="C51" s="14"/>
    </row>
    <row r="52" spans="2:3" x14ac:dyDescent="0.3">
      <c r="B52" s="14"/>
      <c r="C52" s="14"/>
    </row>
    <row r="53" spans="2:3" x14ac:dyDescent="0.3">
      <c r="B53" s="14"/>
      <c r="C53" s="14"/>
    </row>
    <row r="54" spans="2:3" x14ac:dyDescent="0.3">
      <c r="B54" s="12"/>
    </row>
  </sheetData>
  <mergeCells count="2">
    <mergeCell ref="C2:J2"/>
    <mergeCell ref="L2:R2"/>
  </mergeCells>
  <printOptions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4"/>
  <sheetViews>
    <sheetView tabSelected="1" zoomScale="70" zoomScaleNormal="70" workbookViewId="0">
      <selection activeCell="C11" sqref="C11"/>
    </sheetView>
  </sheetViews>
  <sheetFormatPr defaultRowHeight="13" x14ac:dyDescent="0.3"/>
  <cols>
    <col min="1" max="1" width="3.26953125" style="2" customWidth="1"/>
    <col min="2" max="2" width="22.26953125" style="1" customWidth="1"/>
    <col min="3" max="3" width="7.81640625" style="12" customWidth="1"/>
    <col min="4" max="4" width="8.81640625" style="24" customWidth="1"/>
    <col min="5" max="5" width="6.81640625" style="24" customWidth="1"/>
    <col min="6" max="10" width="7.81640625" style="24" customWidth="1"/>
    <col min="11" max="11" width="2.453125" style="2" customWidth="1"/>
    <col min="12" max="16384" width="8.7265625" style="2"/>
  </cols>
  <sheetData>
    <row r="1" spans="2:27" ht="13.5" customHeight="1" thickBot="1" x14ac:dyDescent="0.35">
      <c r="B1" s="23" t="s">
        <v>46</v>
      </c>
    </row>
    <row r="2" spans="2:27" ht="13.5" customHeight="1" thickBot="1" x14ac:dyDescent="0.35">
      <c r="C2" s="208" t="s">
        <v>38</v>
      </c>
      <c r="D2" s="209"/>
      <c r="E2" s="209"/>
      <c r="F2" s="209"/>
      <c r="G2" s="209"/>
      <c r="H2" s="209"/>
      <c r="I2" s="209"/>
      <c r="J2" s="210"/>
      <c r="L2" s="211" t="s">
        <v>40</v>
      </c>
      <c r="M2" s="212"/>
      <c r="N2" s="212"/>
      <c r="O2" s="212"/>
      <c r="P2" s="212"/>
      <c r="Q2" s="212"/>
      <c r="R2" s="213"/>
    </row>
    <row r="3" spans="2:27" ht="39.5" customHeight="1" x14ac:dyDescent="0.3">
      <c r="B3" s="3" t="s">
        <v>0</v>
      </c>
      <c r="C3" s="25" t="s">
        <v>30</v>
      </c>
      <c r="D3" s="26" t="s">
        <v>23</v>
      </c>
      <c r="E3" s="26" t="s">
        <v>25</v>
      </c>
      <c r="F3" s="26" t="s">
        <v>26</v>
      </c>
      <c r="G3" s="26" t="s">
        <v>31</v>
      </c>
      <c r="H3" s="26" t="s">
        <v>32</v>
      </c>
      <c r="I3" s="27" t="s">
        <v>33</v>
      </c>
      <c r="J3" s="28" t="s">
        <v>27</v>
      </c>
      <c r="L3" s="25" t="s">
        <v>41</v>
      </c>
      <c r="M3" s="25" t="s">
        <v>39</v>
      </c>
      <c r="N3" s="26" t="s">
        <v>23</v>
      </c>
      <c r="O3" s="26" t="s">
        <v>24</v>
      </c>
      <c r="P3" s="28" t="s">
        <v>25</v>
      </c>
      <c r="Q3" s="27" t="s">
        <v>33</v>
      </c>
      <c r="R3" s="28" t="s">
        <v>27</v>
      </c>
      <c r="V3" s="24"/>
      <c r="W3" s="24"/>
      <c r="X3" s="24"/>
      <c r="Y3" s="24"/>
      <c r="Z3" s="24"/>
      <c r="AA3" s="24"/>
    </row>
    <row r="4" spans="2:27" ht="13.5" customHeight="1" thickBot="1" x14ac:dyDescent="0.35">
      <c r="B4" s="4">
        <v>2013</v>
      </c>
      <c r="C4" s="29" t="s">
        <v>29</v>
      </c>
      <c r="D4" s="30" t="s">
        <v>29</v>
      </c>
      <c r="E4" s="30" t="s">
        <v>29</v>
      </c>
      <c r="F4" s="30" t="s">
        <v>29</v>
      </c>
      <c r="G4" s="30" t="s">
        <v>29</v>
      </c>
      <c r="H4" s="30" t="s">
        <v>29</v>
      </c>
      <c r="I4" s="31" t="s">
        <v>29</v>
      </c>
      <c r="J4" s="32" t="s">
        <v>28</v>
      </c>
      <c r="L4" s="29" t="s">
        <v>29</v>
      </c>
      <c r="M4" s="29" t="s">
        <v>29</v>
      </c>
      <c r="N4" s="30" t="s">
        <v>29</v>
      </c>
      <c r="O4" s="30" t="s">
        <v>29</v>
      </c>
      <c r="P4" s="32" t="s">
        <v>29</v>
      </c>
      <c r="Q4" s="31" t="s">
        <v>29</v>
      </c>
      <c r="R4" s="32" t="s">
        <v>28</v>
      </c>
      <c r="V4" s="24"/>
      <c r="W4" s="24"/>
      <c r="X4" s="24"/>
      <c r="Y4" s="24"/>
      <c r="Z4" s="24"/>
      <c r="AA4" s="24"/>
    </row>
    <row r="5" spans="2:27" ht="13.5" customHeight="1" x14ac:dyDescent="0.3">
      <c r="B5" s="5" t="s">
        <v>1</v>
      </c>
      <c r="C5" s="45">
        <v>58733</v>
      </c>
      <c r="D5" s="35">
        <v>88966.503360000002</v>
      </c>
      <c r="E5" s="35">
        <v>330</v>
      </c>
      <c r="F5" s="35">
        <v>0</v>
      </c>
      <c r="G5" s="35">
        <v>12474</v>
      </c>
      <c r="H5" s="35">
        <v>87</v>
      </c>
      <c r="I5" s="36">
        <v>0</v>
      </c>
      <c r="J5" s="37"/>
      <c r="L5" s="49">
        <f>SUM(N5:Q5)</f>
        <v>21803.135201891066</v>
      </c>
      <c r="M5" s="49">
        <f>SUM(N5:O5,Q5)</f>
        <v>21803.135201891066</v>
      </c>
      <c r="N5" s="74">
        <v>21726.686501891065</v>
      </c>
      <c r="O5" s="74"/>
      <c r="P5" s="75"/>
      <c r="Q5" s="33">
        <v>76.448700000000002</v>
      </c>
      <c r="R5" s="34">
        <v>0</v>
      </c>
      <c r="V5" s="24"/>
      <c r="W5" s="24"/>
      <c r="X5" s="24"/>
      <c r="Y5" s="24"/>
      <c r="Z5" s="24"/>
      <c r="AA5" s="24"/>
    </row>
    <row r="6" spans="2:27" ht="13.5" customHeight="1" x14ac:dyDescent="0.3">
      <c r="B6" s="7" t="s">
        <v>2</v>
      </c>
      <c r="C6" s="17">
        <v>1899</v>
      </c>
      <c r="D6" s="41"/>
      <c r="E6" s="41"/>
      <c r="F6" s="41"/>
      <c r="G6" s="41"/>
      <c r="H6" s="41"/>
      <c r="I6" s="33"/>
      <c r="J6" s="34"/>
      <c r="L6" s="49">
        <f>SUM(N6:Q6)</f>
        <v>737.85350986648234</v>
      </c>
      <c r="M6" s="49"/>
      <c r="N6" s="41">
        <v>590.73430986648236</v>
      </c>
      <c r="O6" s="41"/>
      <c r="P6" s="34"/>
      <c r="Q6" s="33">
        <v>147.11920000000001</v>
      </c>
      <c r="R6" s="34">
        <v>719</v>
      </c>
      <c r="V6" s="24"/>
      <c r="W6" s="24"/>
      <c r="X6" s="24"/>
      <c r="Y6" s="24"/>
      <c r="Z6" s="24"/>
      <c r="AA6" s="24"/>
    </row>
    <row r="7" spans="2:27" ht="13.5" customHeight="1" x14ac:dyDescent="0.3">
      <c r="B7" s="7" t="s">
        <v>3</v>
      </c>
      <c r="C7" s="17">
        <v>2439</v>
      </c>
      <c r="D7" s="41"/>
      <c r="E7" s="41"/>
      <c r="F7" s="41"/>
      <c r="G7" s="41"/>
      <c r="H7" s="41"/>
      <c r="I7" s="33"/>
      <c r="J7" s="34"/>
      <c r="L7" s="49">
        <f>SUM(N7:Q7)</f>
        <v>2721.1929699709412</v>
      </c>
      <c r="M7" s="49"/>
      <c r="N7" s="41">
        <v>2455.1881699709411</v>
      </c>
      <c r="O7" s="41"/>
      <c r="P7" s="34"/>
      <c r="Q7" s="33">
        <v>266.00479999999999</v>
      </c>
      <c r="R7" s="34">
        <v>32</v>
      </c>
      <c r="V7" s="24"/>
      <c r="W7" s="24"/>
      <c r="X7" s="24"/>
      <c r="Y7" s="24"/>
      <c r="Z7" s="24"/>
      <c r="AA7" s="24"/>
    </row>
    <row r="8" spans="2:27" ht="13.5" customHeight="1" x14ac:dyDescent="0.3">
      <c r="B8" s="7" t="s">
        <v>4</v>
      </c>
      <c r="C8" s="17">
        <v>0</v>
      </c>
      <c r="D8" s="41"/>
      <c r="E8" s="41"/>
      <c r="F8" s="41"/>
      <c r="G8" s="41"/>
      <c r="H8" s="41"/>
      <c r="I8" s="33"/>
      <c r="J8" s="34"/>
      <c r="L8" s="49"/>
      <c r="M8" s="49"/>
      <c r="N8" s="21"/>
      <c r="O8" s="21"/>
      <c r="P8" s="16"/>
      <c r="Q8" s="15"/>
      <c r="R8" s="16"/>
      <c r="V8" s="24"/>
      <c r="W8" s="24"/>
      <c r="X8" s="24"/>
      <c r="Y8" s="24"/>
      <c r="Z8" s="24"/>
      <c r="AA8" s="24"/>
    </row>
    <row r="9" spans="2:27" ht="13.5" customHeight="1" x14ac:dyDescent="0.3">
      <c r="B9" s="7" t="s">
        <v>5</v>
      </c>
      <c r="C9" s="17"/>
      <c r="D9" s="41"/>
      <c r="E9" s="41"/>
      <c r="F9" s="41"/>
      <c r="G9" s="41"/>
      <c r="H9" s="41"/>
      <c r="I9" s="33"/>
      <c r="J9" s="34"/>
      <c r="L9" s="49"/>
      <c r="M9" s="49"/>
      <c r="N9" s="21"/>
      <c r="O9" s="21"/>
      <c r="P9" s="16"/>
      <c r="Q9" s="15"/>
      <c r="R9" s="16"/>
      <c r="V9" s="24"/>
      <c r="W9" s="24"/>
      <c r="X9" s="24"/>
      <c r="Y9" s="24"/>
      <c r="Z9" s="24"/>
      <c r="AA9" s="24"/>
    </row>
    <row r="10" spans="2:27" ht="13.5" customHeight="1" thickBot="1" x14ac:dyDescent="0.35">
      <c r="B10" s="46" t="s">
        <v>6</v>
      </c>
      <c r="C10" s="47">
        <f>SUM(D10:H10)</f>
        <v>89053.503360000002</v>
      </c>
      <c r="D10" s="38">
        <f>D5+D6-D7+D8</f>
        <v>88966.503360000002</v>
      </c>
      <c r="E10" s="38"/>
      <c r="F10" s="38"/>
      <c r="G10" s="38"/>
      <c r="H10" s="38">
        <f>H5</f>
        <v>87</v>
      </c>
      <c r="I10" s="39"/>
      <c r="J10" s="40"/>
      <c r="L10" s="51">
        <f>SUM(N10:Q10)</f>
        <v>19819.795741786606</v>
      </c>
      <c r="M10" s="51"/>
      <c r="N10" s="53">
        <v>19862.232641786606</v>
      </c>
      <c r="O10" s="53"/>
      <c r="P10" s="54"/>
      <c r="Q10" s="52">
        <v>-42.43689999999998</v>
      </c>
      <c r="R10" s="54">
        <v>687</v>
      </c>
      <c r="V10" s="24"/>
      <c r="W10" s="24"/>
      <c r="X10" s="24"/>
      <c r="Y10" s="24"/>
      <c r="Z10" s="24"/>
      <c r="AA10" s="24"/>
    </row>
    <row r="11" spans="2:27" ht="13.5" customHeight="1" thickBot="1" x14ac:dyDescent="0.35">
      <c r="B11" s="8" t="s">
        <v>7</v>
      </c>
      <c r="C11" s="19">
        <v>0</v>
      </c>
      <c r="D11" s="38"/>
      <c r="E11" s="38"/>
      <c r="F11" s="38"/>
      <c r="G11" s="38"/>
      <c r="H11" s="38"/>
      <c r="I11" s="39"/>
      <c r="J11" s="40"/>
      <c r="L11" s="55">
        <f>SUM(N11:Q11)</f>
        <v>-42.43689999999998</v>
      </c>
      <c r="M11" s="55"/>
      <c r="N11" s="67"/>
      <c r="O11" s="67"/>
      <c r="P11" s="68"/>
      <c r="Q11" s="43">
        <v>-42.43689999999998</v>
      </c>
      <c r="R11" s="44">
        <v>41.220000000000141</v>
      </c>
      <c r="V11" s="24"/>
      <c r="W11" s="24"/>
      <c r="X11" s="24"/>
      <c r="Y11" s="24"/>
      <c r="Z11" s="24"/>
      <c r="AA11" s="24"/>
    </row>
    <row r="12" spans="2:27" ht="13.5" customHeight="1" x14ac:dyDescent="0.3">
      <c r="B12" s="7" t="s">
        <v>8</v>
      </c>
      <c r="C12" s="17">
        <v>18279</v>
      </c>
      <c r="I12" s="33"/>
      <c r="J12" s="34"/>
      <c r="L12" s="49"/>
      <c r="M12" s="49"/>
      <c r="N12" s="41"/>
      <c r="O12" s="41"/>
      <c r="P12" s="34"/>
      <c r="Q12" s="33"/>
      <c r="R12" s="34"/>
      <c r="V12" s="24"/>
      <c r="W12" s="24"/>
      <c r="X12" s="24"/>
      <c r="Y12" s="24"/>
      <c r="Z12" s="24"/>
      <c r="AA12" s="24"/>
    </row>
    <row r="13" spans="2:27" ht="13.5" customHeight="1" x14ac:dyDescent="0.3">
      <c r="B13" s="7" t="s">
        <v>9</v>
      </c>
      <c r="C13" s="17">
        <f>SUM(D13:H13)</f>
        <v>0</v>
      </c>
      <c r="I13" s="33"/>
      <c r="J13" s="34"/>
      <c r="L13" s="18"/>
      <c r="M13" s="18"/>
      <c r="N13" s="21"/>
      <c r="O13" s="21"/>
      <c r="P13" s="16"/>
      <c r="Q13" s="15"/>
      <c r="R13" s="16"/>
      <c r="V13" s="24"/>
      <c r="W13" s="24"/>
      <c r="X13" s="24"/>
      <c r="Y13" s="24"/>
      <c r="Z13" s="24"/>
      <c r="AA13" s="24"/>
    </row>
    <row r="14" spans="2:27" ht="13.5" customHeight="1" x14ac:dyDescent="0.3">
      <c r="B14" s="7" t="s">
        <v>10</v>
      </c>
      <c r="C14" s="17">
        <v>1550</v>
      </c>
      <c r="I14" s="33"/>
      <c r="J14" s="34"/>
      <c r="L14" s="18"/>
      <c r="M14" s="18"/>
      <c r="N14" s="21"/>
      <c r="O14" s="21"/>
      <c r="P14" s="16"/>
      <c r="Q14" s="15"/>
      <c r="R14" s="16"/>
      <c r="U14" s="24"/>
      <c r="V14" s="24"/>
      <c r="W14" s="24"/>
      <c r="X14" s="24"/>
      <c r="Y14" s="24"/>
      <c r="Z14" s="24"/>
      <c r="AA14" s="24"/>
    </row>
    <row r="15" spans="2:27" ht="13.5" customHeight="1" x14ac:dyDescent="0.3">
      <c r="B15" s="7" t="s">
        <v>11</v>
      </c>
      <c r="C15" s="17">
        <v>0</v>
      </c>
      <c r="I15" s="33"/>
      <c r="J15" s="34"/>
      <c r="L15" s="18"/>
      <c r="M15" s="18"/>
      <c r="N15" s="21"/>
      <c r="O15" s="21"/>
      <c r="P15" s="16"/>
      <c r="Q15" s="15"/>
      <c r="R15" s="16"/>
      <c r="U15" s="24"/>
      <c r="V15" s="24"/>
      <c r="W15" s="24"/>
      <c r="X15" s="24"/>
      <c r="Y15" s="24"/>
      <c r="Z15" s="24"/>
      <c r="AA15" s="24"/>
    </row>
    <row r="16" spans="2:27" ht="13.5" customHeight="1" x14ac:dyDescent="0.3">
      <c r="B16" s="7" t="s">
        <v>34</v>
      </c>
      <c r="C16" s="17"/>
      <c r="I16" s="33"/>
      <c r="J16" s="34"/>
      <c r="L16" s="18"/>
      <c r="M16" s="18"/>
      <c r="N16" s="21"/>
      <c r="O16" s="21"/>
      <c r="P16" s="16"/>
      <c r="Q16" s="15"/>
      <c r="R16" s="16"/>
      <c r="U16" s="24"/>
      <c r="V16" s="24"/>
      <c r="W16" s="24"/>
      <c r="X16" s="24"/>
      <c r="Y16" s="24"/>
      <c r="Z16" s="24"/>
      <c r="AA16" s="24"/>
    </row>
    <row r="17" spans="2:27" ht="13.5" customHeight="1" x14ac:dyDescent="0.3">
      <c r="B17" s="7" t="s">
        <v>12</v>
      </c>
      <c r="C17" s="17">
        <v>0</v>
      </c>
      <c r="I17" s="33"/>
      <c r="J17" s="34"/>
      <c r="L17" s="18"/>
      <c r="M17" s="18"/>
      <c r="N17" s="21"/>
      <c r="O17" s="21"/>
      <c r="P17" s="16"/>
      <c r="Q17" s="15"/>
      <c r="R17" s="16"/>
      <c r="U17" s="24"/>
      <c r="V17" s="24"/>
      <c r="W17" s="24"/>
      <c r="X17" s="24"/>
      <c r="Y17" s="24"/>
      <c r="Z17" s="24"/>
      <c r="AA17" s="24"/>
    </row>
    <row r="18" spans="2:27" ht="13.5" customHeight="1" x14ac:dyDescent="0.3">
      <c r="B18" s="7" t="s">
        <v>13</v>
      </c>
      <c r="C18" s="17">
        <v>0</v>
      </c>
      <c r="I18" s="33"/>
      <c r="J18" s="34"/>
      <c r="L18" s="18"/>
      <c r="M18" s="18"/>
      <c r="N18" s="21"/>
      <c r="O18" s="21"/>
      <c r="P18" s="16"/>
      <c r="Q18" s="15"/>
      <c r="R18" s="16"/>
      <c r="U18" s="24"/>
      <c r="V18" s="24"/>
      <c r="W18" s="24"/>
      <c r="X18" s="24"/>
      <c r="Y18" s="24"/>
      <c r="Z18" s="24"/>
      <c r="AA18" s="24"/>
    </row>
    <row r="19" spans="2:27" ht="13.5" customHeight="1" thickBot="1" x14ac:dyDescent="0.35">
      <c r="B19" s="7" t="s">
        <v>14</v>
      </c>
      <c r="C19" s="17">
        <v>0</v>
      </c>
      <c r="I19" s="33"/>
      <c r="J19" s="34"/>
      <c r="L19" s="18"/>
      <c r="M19" s="18"/>
      <c r="N19" s="21"/>
      <c r="O19" s="21"/>
      <c r="P19" s="16"/>
      <c r="Q19" s="15"/>
      <c r="R19" s="16"/>
      <c r="U19" s="24"/>
      <c r="V19" s="24"/>
      <c r="W19" s="24"/>
      <c r="X19" s="24"/>
      <c r="Y19" s="24"/>
      <c r="Z19" s="24"/>
      <c r="AA19" s="24"/>
    </row>
    <row r="20" spans="2:27" ht="13.5" customHeight="1" x14ac:dyDescent="0.3">
      <c r="B20" s="9" t="s">
        <v>15</v>
      </c>
      <c r="C20" s="20">
        <f>SUM(D20:H20)</f>
        <v>0</v>
      </c>
      <c r="D20" s="35">
        <f>SUM(D21:D26)</f>
        <v>0</v>
      </c>
      <c r="E20" s="35"/>
      <c r="F20" s="35"/>
      <c r="G20" s="35"/>
      <c r="H20" s="35">
        <f>H25</f>
        <v>0</v>
      </c>
      <c r="I20" s="36"/>
      <c r="J20" s="37"/>
      <c r="L20" s="56">
        <f>SUM(N20:Q20)</f>
        <v>19862.232641786606</v>
      </c>
      <c r="M20" s="56"/>
      <c r="N20" s="58">
        <f t="shared" ref="N20:R20" si="0">SUM(N21:N26)</f>
        <v>19862.232641786606</v>
      </c>
      <c r="O20" s="58"/>
      <c r="P20" s="58"/>
      <c r="Q20" s="57"/>
      <c r="R20" s="59">
        <f t="shared" si="0"/>
        <v>645.77999999999986</v>
      </c>
      <c r="U20" s="24"/>
      <c r="V20" s="24"/>
      <c r="W20" s="24"/>
      <c r="X20" s="24"/>
      <c r="Y20" s="24"/>
      <c r="Z20" s="24"/>
      <c r="AA20" s="24"/>
    </row>
    <row r="21" spans="2:27" ht="13.5" customHeight="1" x14ac:dyDescent="0.3">
      <c r="B21" s="7" t="s">
        <v>16</v>
      </c>
      <c r="C21" s="17">
        <v>4613</v>
      </c>
      <c r="D21" s="41"/>
      <c r="E21" s="41"/>
      <c r="F21" s="41"/>
      <c r="G21" s="41"/>
      <c r="H21" s="41"/>
      <c r="I21" s="33"/>
      <c r="J21" s="34"/>
      <c r="L21" s="49"/>
      <c r="M21" s="49"/>
      <c r="N21" s="41"/>
      <c r="O21" s="41"/>
      <c r="P21" s="41"/>
      <c r="Q21" s="33"/>
      <c r="R21" s="34"/>
      <c r="U21" s="24"/>
    </row>
    <row r="22" spans="2:27" ht="13.5" customHeight="1" x14ac:dyDescent="0.3">
      <c r="B22" s="7" t="s">
        <v>17</v>
      </c>
      <c r="C22" s="17">
        <v>0</v>
      </c>
      <c r="D22" s="41"/>
      <c r="E22" s="41"/>
      <c r="F22" s="41"/>
      <c r="G22" s="41"/>
      <c r="H22" s="41"/>
      <c r="I22" s="33"/>
      <c r="J22" s="34"/>
      <c r="L22" s="18"/>
      <c r="M22" s="18"/>
      <c r="N22" s="21"/>
      <c r="O22" s="21"/>
      <c r="P22" s="21"/>
      <c r="Q22" s="15"/>
      <c r="R22" s="16"/>
      <c r="U22" s="24"/>
    </row>
    <row r="23" spans="2:27" ht="13.5" customHeight="1" x14ac:dyDescent="0.3">
      <c r="B23" s="7" t="s">
        <v>18</v>
      </c>
      <c r="C23" s="17">
        <v>0</v>
      </c>
      <c r="D23" s="41"/>
      <c r="E23" s="41"/>
      <c r="F23" s="41"/>
      <c r="G23" s="41"/>
      <c r="H23" s="41"/>
      <c r="I23" s="33"/>
      <c r="J23" s="34"/>
      <c r="L23" s="18"/>
      <c r="M23" s="18"/>
      <c r="N23" s="21"/>
      <c r="O23" s="21"/>
      <c r="P23" s="21"/>
      <c r="Q23" s="15"/>
      <c r="R23" s="16"/>
      <c r="U23" s="24"/>
    </row>
    <row r="24" spans="2:27" ht="13.5" customHeight="1" x14ac:dyDescent="0.3">
      <c r="B24" s="7" t="s">
        <v>19</v>
      </c>
      <c r="C24" s="17">
        <v>4373</v>
      </c>
      <c r="D24" s="41"/>
      <c r="E24" s="41"/>
      <c r="F24" s="41"/>
      <c r="G24" s="41"/>
      <c r="H24" s="41"/>
      <c r="I24" s="33"/>
      <c r="J24" s="34"/>
      <c r="L24" s="49"/>
      <c r="M24" s="49"/>
      <c r="N24" s="41"/>
      <c r="O24" s="41"/>
      <c r="P24" s="41"/>
      <c r="Q24" s="33"/>
      <c r="R24" s="34"/>
    </row>
    <row r="25" spans="2:27" ht="13.5" customHeight="1" x14ac:dyDescent="0.3">
      <c r="B25" s="7" t="s">
        <v>20</v>
      </c>
      <c r="C25" s="17">
        <v>25775</v>
      </c>
      <c r="D25" s="41"/>
      <c r="E25" s="41"/>
      <c r="F25" s="41"/>
      <c r="G25" s="41"/>
      <c r="H25" s="41"/>
      <c r="I25" s="33"/>
      <c r="J25" s="34"/>
      <c r="L25" s="49"/>
      <c r="M25" s="49"/>
      <c r="N25" s="41"/>
      <c r="O25" s="41"/>
      <c r="P25" s="41"/>
      <c r="Q25" s="33"/>
      <c r="R25" s="34">
        <v>645.77999999999986</v>
      </c>
    </row>
    <row r="26" spans="2:27" ht="13.5" customHeight="1" thickBot="1" x14ac:dyDescent="0.35">
      <c r="B26" s="8" t="s">
        <v>21</v>
      </c>
      <c r="C26" s="19">
        <v>351</v>
      </c>
      <c r="D26" s="38"/>
      <c r="E26" s="38"/>
      <c r="F26" s="38"/>
      <c r="G26" s="38"/>
      <c r="H26" s="38"/>
      <c r="I26" s="39"/>
      <c r="J26" s="40"/>
      <c r="L26" s="50"/>
      <c r="M26" s="50"/>
      <c r="N26" s="38">
        <v>19862.232641786606</v>
      </c>
      <c r="O26" s="38"/>
      <c r="P26" s="38"/>
      <c r="Q26" s="39"/>
      <c r="R26" s="40"/>
    </row>
    <row r="27" spans="2:27" ht="13.5" customHeight="1" thickBot="1" x14ac:dyDescent="0.35">
      <c r="B27" s="10" t="s">
        <v>22</v>
      </c>
      <c r="C27" s="22"/>
      <c r="D27" s="42"/>
      <c r="E27" s="42"/>
      <c r="F27" s="42"/>
      <c r="G27" s="42"/>
      <c r="H27" s="42"/>
      <c r="I27" s="43"/>
      <c r="J27" s="44"/>
      <c r="N27" s="43">
        <v>14581.873807999998</v>
      </c>
      <c r="O27" s="42">
        <v>14581.873807999998</v>
      </c>
      <c r="P27" s="42">
        <v>12460</v>
      </c>
      <c r="Q27" s="43">
        <v>17300</v>
      </c>
      <c r="R27" s="44">
        <v>30000</v>
      </c>
    </row>
    <row r="28" spans="2:27" ht="15" customHeight="1" x14ac:dyDescent="0.3"/>
    <row r="30" spans="2:27" x14ac:dyDescent="0.3">
      <c r="B30" s="11"/>
      <c r="C30" s="13"/>
      <c r="G30" s="2"/>
      <c r="H30" s="2"/>
      <c r="I30" s="2"/>
    </row>
    <row r="33" spans="2:3" x14ac:dyDescent="0.3">
      <c r="B33" s="12"/>
    </row>
    <row r="34" spans="2:3" x14ac:dyDescent="0.3">
      <c r="B34" s="12"/>
    </row>
    <row r="35" spans="2:3" x14ac:dyDescent="0.3">
      <c r="B35" s="12"/>
    </row>
    <row r="36" spans="2:3" x14ac:dyDescent="0.3">
      <c r="B36" s="13"/>
      <c r="C36" s="13"/>
    </row>
    <row r="37" spans="2:3" x14ac:dyDescent="0.3">
      <c r="B37" s="12"/>
    </row>
    <row r="38" spans="2:3" x14ac:dyDescent="0.3">
      <c r="B38" s="6"/>
      <c r="C38" s="6"/>
    </row>
    <row r="39" spans="2:3" x14ac:dyDescent="0.3">
      <c r="B39" s="6"/>
      <c r="C39" s="6"/>
    </row>
    <row r="40" spans="2:3" x14ac:dyDescent="0.3">
      <c r="B40" s="6"/>
      <c r="C40" s="6"/>
    </row>
    <row r="41" spans="2:3" x14ac:dyDescent="0.3">
      <c r="B41" s="6"/>
      <c r="C41" s="6"/>
    </row>
    <row r="42" spans="2:3" x14ac:dyDescent="0.3">
      <c r="B42" s="6"/>
      <c r="C42" s="6"/>
    </row>
    <row r="43" spans="2:3" x14ac:dyDescent="0.3">
      <c r="B43" s="12"/>
    </row>
    <row r="44" spans="2:3" x14ac:dyDescent="0.3">
      <c r="B44" s="12"/>
    </row>
    <row r="45" spans="2:3" x14ac:dyDescent="0.3">
      <c r="B45" s="12"/>
    </row>
    <row r="46" spans="2:3" x14ac:dyDescent="0.3">
      <c r="B46" s="13"/>
      <c r="C46" s="13"/>
    </row>
    <row r="47" spans="2:3" x14ac:dyDescent="0.3">
      <c r="B47" s="14"/>
      <c r="C47" s="14"/>
    </row>
    <row r="48" spans="2:3" x14ac:dyDescent="0.3">
      <c r="B48" s="14"/>
      <c r="C48" s="14"/>
    </row>
    <row r="49" spans="2:3" x14ac:dyDescent="0.3">
      <c r="B49" s="14"/>
      <c r="C49" s="14"/>
    </row>
    <row r="50" spans="2:3" x14ac:dyDescent="0.3">
      <c r="B50" s="14"/>
      <c r="C50" s="14"/>
    </row>
    <row r="51" spans="2:3" x14ac:dyDescent="0.3">
      <c r="B51" s="14"/>
      <c r="C51" s="14"/>
    </row>
    <row r="52" spans="2:3" x14ac:dyDescent="0.3">
      <c r="B52" s="14"/>
      <c r="C52" s="14"/>
    </row>
    <row r="53" spans="2:3" x14ac:dyDescent="0.3">
      <c r="B53" s="14"/>
      <c r="C53" s="14"/>
    </row>
    <row r="54" spans="2:3" x14ac:dyDescent="0.3">
      <c r="B54" s="12"/>
    </row>
  </sheetData>
  <mergeCells count="2">
    <mergeCell ref="C2:J2"/>
    <mergeCell ref="L2:R2"/>
  </mergeCells>
  <printOptions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4"/>
  <sheetViews>
    <sheetView tabSelected="1" zoomScale="70" zoomScaleNormal="70" workbookViewId="0">
      <selection activeCell="C11" sqref="C11"/>
    </sheetView>
  </sheetViews>
  <sheetFormatPr defaultRowHeight="13" x14ac:dyDescent="0.3"/>
  <cols>
    <col min="1" max="1" width="3.26953125" style="2" customWidth="1"/>
    <col min="2" max="2" width="22.26953125" style="1" customWidth="1"/>
    <col min="3" max="3" width="7.81640625" style="12" customWidth="1"/>
    <col min="4" max="4" width="8.81640625" style="24" customWidth="1"/>
    <col min="5" max="5" width="6.81640625" style="24" customWidth="1"/>
    <col min="6" max="10" width="7.81640625" style="24" customWidth="1"/>
    <col min="11" max="11" width="2.453125" style="2" customWidth="1"/>
    <col min="12" max="16384" width="8.7265625" style="2"/>
  </cols>
  <sheetData>
    <row r="1" spans="2:24" ht="13.5" customHeight="1" thickBot="1" x14ac:dyDescent="0.35">
      <c r="B1" s="23" t="s">
        <v>53</v>
      </c>
    </row>
    <row r="2" spans="2:24" ht="13.5" customHeight="1" thickBot="1" x14ac:dyDescent="0.35">
      <c r="C2" s="208" t="s">
        <v>38</v>
      </c>
      <c r="D2" s="209"/>
      <c r="E2" s="209"/>
      <c r="F2" s="209"/>
      <c r="G2" s="209"/>
      <c r="H2" s="209"/>
      <c r="I2" s="209"/>
      <c r="J2" s="210"/>
      <c r="L2" s="211" t="s">
        <v>76</v>
      </c>
      <c r="M2" s="212"/>
      <c r="N2" s="212"/>
      <c r="O2" s="212"/>
      <c r="P2" s="212"/>
      <c r="Q2" s="212"/>
      <c r="R2" s="213"/>
    </row>
    <row r="3" spans="2:24" ht="39.5" customHeight="1" x14ac:dyDescent="0.3">
      <c r="B3" s="3" t="s">
        <v>0</v>
      </c>
      <c r="C3" s="25" t="s">
        <v>30</v>
      </c>
      <c r="D3" s="26" t="s">
        <v>23</v>
      </c>
      <c r="E3" s="26" t="s">
        <v>25</v>
      </c>
      <c r="F3" s="26" t="s">
        <v>26</v>
      </c>
      <c r="G3" s="26" t="s">
        <v>31</v>
      </c>
      <c r="H3" s="26" t="s">
        <v>32</v>
      </c>
      <c r="I3" s="27" t="s">
        <v>33</v>
      </c>
      <c r="J3" s="28" t="s">
        <v>27</v>
      </c>
      <c r="L3" s="25" t="s">
        <v>41</v>
      </c>
      <c r="M3" s="25" t="s">
        <v>39</v>
      </c>
      <c r="N3" s="26" t="s">
        <v>23</v>
      </c>
      <c r="O3" s="26" t="s">
        <v>24</v>
      </c>
      <c r="P3" s="28" t="s">
        <v>25</v>
      </c>
      <c r="Q3" s="27" t="s">
        <v>33</v>
      </c>
      <c r="R3" s="28" t="s">
        <v>27</v>
      </c>
    </row>
    <row r="4" spans="2:24" ht="13.5" customHeight="1" thickBot="1" x14ac:dyDescent="0.35">
      <c r="B4" s="4">
        <v>2013</v>
      </c>
      <c r="C4" s="29" t="s">
        <v>29</v>
      </c>
      <c r="D4" s="30" t="s">
        <v>29</v>
      </c>
      <c r="E4" s="30" t="s">
        <v>29</v>
      </c>
      <c r="F4" s="30" t="s">
        <v>29</v>
      </c>
      <c r="G4" s="30" t="s">
        <v>29</v>
      </c>
      <c r="H4" s="30" t="s">
        <v>29</v>
      </c>
      <c r="I4" s="31" t="s">
        <v>29</v>
      </c>
      <c r="J4" s="32" t="s">
        <v>28</v>
      </c>
      <c r="L4" s="29" t="s">
        <v>29</v>
      </c>
      <c r="M4" s="29" t="s">
        <v>29</v>
      </c>
      <c r="N4" s="30" t="s">
        <v>29</v>
      </c>
      <c r="O4" s="30" t="s">
        <v>29</v>
      </c>
      <c r="P4" s="32" t="s">
        <v>29</v>
      </c>
      <c r="Q4" s="72" t="s">
        <v>29</v>
      </c>
      <c r="R4" s="73" t="s">
        <v>28</v>
      </c>
      <c r="V4" s="2" t="s">
        <v>80</v>
      </c>
      <c r="W4" s="2" t="s">
        <v>81</v>
      </c>
      <c r="X4" s="2" t="s">
        <v>82</v>
      </c>
    </row>
    <row r="5" spans="2:24" ht="13.5" customHeight="1" x14ac:dyDescent="0.3">
      <c r="B5" s="5" t="s">
        <v>1</v>
      </c>
      <c r="C5" s="45">
        <v>311831</v>
      </c>
      <c r="D5" s="35">
        <v>88966.503360000002</v>
      </c>
      <c r="E5" s="35">
        <v>0</v>
      </c>
      <c r="F5" s="35">
        <v>0</v>
      </c>
      <c r="G5" s="35">
        <v>7918</v>
      </c>
      <c r="H5" s="35">
        <v>0</v>
      </c>
      <c r="I5" s="36">
        <v>0</v>
      </c>
      <c r="J5" s="37">
        <v>10000</v>
      </c>
      <c r="L5" s="49">
        <f>SUM(N5:Q5)</f>
        <v>50744.882880000005</v>
      </c>
      <c r="M5" s="49">
        <f>SUM(N5:O5,Q5)</f>
        <v>50744.882880000005</v>
      </c>
      <c r="N5" s="36">
        <f>W7*N$27/1000000*0.75</f>
        <v>43976.882880000005</v>
      </c>
      <c r="O5" s="74"/>
      <c r="P5" s="74"/>
      <c r="Q5" s="36">
        <f>X7*Q$27/1000000</f>
        <v>6768</v>
      </c>
      <c r="R5" s="37">
        <f>V7</f>
        <v>10000</v>
      </c>
      <c r="U5" s="2" t="s">
        <v>79</v>
      </c>
      <c r="V5" s="24">
        <v>1381</v>
      </c>
      <c r="W5" s="24">
        <v>11181</v>
      </c>
      <c r="X5" s="24">
        <v>5977</v>
      </c>
    </row>
    <row r="6" spans="2:24" ht="13.5" customHeight="1" x14ac:dyDescent="0.3">
      <c r="B6" s="7" t="s">
        <v>2</v>
      </c>
      <c r="C6" s="17">
        <v>59072</v>
      </c>
      <c r="D6" s="41"/>
      <c r="E6" s="41"/>
      <c r="F6" s="41"/>
      <c r="G6" s="41"/>
      <c r="H6" s="41"/>
      <c r="I6" s="33"/>
      <c r="J6" s="34">
        <v>57000</v>
      </c>
      <c r="L6" s="49">
        <f>SUM(N6:Q6)</f>
        <v>41512.141439999999</v>
      </c>
      <c r="M6" s="49"/>
      <c r="N6" s="33">
        <f>W6*N$27/1000000*0.75</f>
        <v>11923.57908</v>
      </c>
      <c r="O6" s="41"/>
      <c r="P6" s="41"/>
      <c r="Q6" s="33">
        <f>X6*Q$27/1000000</f>
        <v>29588.56236</v>
      </c>
      <c r="R6" s="34">
        <f>V6</f>
        <v>57493</v>
      </c>
      <c r="U6" s="2" t="s">
        <v>78</v>
      </c>
      <c r="V6" s="24">
        <v>57493</v>
      </c>
      <c r="W6" s="24">
        <v>1051462</v>
      </c>
      <c r="X6" s="24">
        <v>1748733</v>
      </c>
    </row>
    <row r="7" spans="2:24" ht="13.5" customHeight="1" x14ac:dyDescent="0.3">
      <c r="B7" s="7" t="s">
        <v>3</v>
      </c>
      <c r="C7" s="17">
        <v>452</v>
      </c>
      <c r="D7" s="41"/>
      <c r="E7" s="41"/>
      <c r="F7" s="41"/>
      <c r="G7" s="41"/>
      <c r="H7" s="41"/>
      <c r="I7" s="33"/>
      <c r="J7" s="34">
        <v>1000</v>
      </c>
      <c r="L7" s="49">
        <f>SUM(N7:Q7)</f>
        <v>227.92338000000001</v>
      </c>
      <c r="M7" s="49"/>
      <c r="N7" s="33">
        <f>W5*N$27/1000000*0.75</f>
        <v>126.79254</v>
      </c>
      <c r="O7" s="41"/>
      <c r="P7" s="41"/>
      <c r="Q7" s="33">
        <f>X5*Q$27/1000000</f>
        <v>101.13084000000001</v>
      </c>
      <c r="R7" s="34">
        <f>V5</f>
        <v>1381</v>
      </c>
      <c r="U7" s="2" t="s">
        <v>77</v>
      </c>
      <c r="V7" s="2">
        <v>10000</v>
      </c>
      <c r="W7" s="24">
        <v>3878032</v>
      </c>
      <c r="X7" s="24">
        <v>400000</v>
      </c>
    </row>
    <row r="8" spans="2:24" ht="13.5" customHeight="1" x14ac:dyDescent="0.3">
      <c r="B8" s="7" t="s">
        <v>4</v>
      </c>
      <c r="C8" s="17">
        <v>0</v>
      </c>
      <c r="D8" s="41"/>
      <c r="E8" s="41"/>
      <c r="F8" s="41"/>
      <c r="G8" s="41"/>
      <c r="H8" s="41"/>
      <c r="I8" s="33"/>
      <c r="J8" s="34"/>
      <c r="L8" s="49"/>
      <c r="M8" s="49"/>
      <c r="N8" s="21"/>
      <c r="O8" s="21"/>
      <c r="P8" s="21"/>
      <c r="Q8" s="15"/>
      <c r="R8" s="16"/>
    </row>
    <row r="9" spans="2:24" ht="13.5" customHeight="1" x14ac:dyDescent="0.3">
      <c r="B9" s="7" t="s">
        <v>5</v>
      </c>
      <c r="C9" s="17"/>
      <c r="D9" s="41"/>
      <c r="E9" s="41"/>
      <c r="F9" s="41"/>
      <c r="G9" s="41"/>
      <c r="H9" s="41"/>
      <c r="I9" s="33"/>
      <c r="J9" s="34"/>
      <c r="L9" s="49"/>
      <c r="M9" s="49"/>
      <c r="N9" s="21"/>
      <c r="O9" s="21"/>
      <c r="P9" s="21"/>
      <c r="Q9" s="15"/>
      <c r="R9" s="16"/>
    </row>
    <row r="10" spans="2:24" ht="13.5" customHeight="1" thickBot="1" x14ac:dyDescent="0.35">
      <c r="B10" s="46" t="s">
        <v>6</v>
      </c>
      <c r="C10" s="47">
        <f>SUM(D10:H10)</f>
        <v>88966.503360000002</v>
      </c>
      <c r="D10" s="38">
        <f>D5+D6-D7+D8</f>
        <v>88966.503360000002</v>
      </c>
      <c r="E10" s="38"/>
      <c r="F10" s="38"/>
      <c r="G10" s="38"/>
      <c r="H10" s="38">
        <f>H5</f>
        <v>0</v>
      </c>
      <c r="I10" s="39"/>
      <c r="J10" s="62">
        <v>66000</v>
      </c>
      <c r="L10" s="51">
        <f>SUM(N10:Q10)</f>
        <v>92029.100940000004</v>
      </c>
      <c r="M10" s="51"/>
      <c r="N10" s="66">
        <f>N5+N6-N7</f>
        <v>55773.669419999998</v>
      </c>
      <c r="O10" s="53"/>
      <c r="P10" s="53"/>
      <c r="Q10" s="66">
        <f>Q5+Q6-Q7</f>
        <v>36255.431519999998</v>
      </c>
      <c r="R10" s="62">
        <f>R5+R6-R7</f>
        <v>66112</v>
      </c>
    </row>
    <row r="11" spans="2:24" ht="13.5" customHeight="1" thickBot="1" x14ac:dyDescent="0.35">
      <c r="B11" s="8" t="s">
        <v>7</v>
      </c>
      <c r="C11" s="19">
        <v>0</v>
      </c>
      <c r="D11" s="38"/>
      <c r="E11" s="38"/>
      <c r="F11" s="38"/>
      <c r="G11" s="38"/>
      <c r="H11" s="38"/>
      <c r="I11" s="39"/>
      <c r="J11" s="40"/>
      <c r="L11" s="55">
        <f>SUM(N11:Q11)</f>
        <v>0</v>
      </c>
      <c r="M11" s="55"/>
      <c r="N11" s="67"/>
      <c r="O11" s="67"/>
      <c r="P11" s="68"/>
      <c r="Q11" s="39"/>
      <c r="R11" s="40"/>
    </row>
    <row r="12" spans="2:24" ht="13.5" customHeight="1" x14ac:dyDescent="0.3">
      <c r="B12" s="7" t="s">
        <v>8</v>
      </c>
      <c r="C12" s="17">
        <v>34022</v>
      </c>
      <c r="I12" s="33"/>
      <c r="J12" s="34"/>
      <c r="L12" s="49"/>
      <c r="M12" s="49"/>
      <c r="N12" s="41"/>
      <c r="O12" s="41"/>
      <c r="P12" s="34"/>
      <c r="Q12" s="33"/>
      <c r="R12" s="34"/>
    </row>
    <row r="13" spans="2:24" ht="13.5" customHeight="1" x14ac:dyDescent="0.3">
      <c r="B13" s="7" t="s">
        <v>9</v>
      </c>
      <c r="C13" s="17">
        <f>SUM(D13:H13)</f>
        <v>0</v>
      </c>
      <c r="I13" s="33"/>
      <c r="J13" s="34"/>
      <c r="L13" s="18"/>
      <c r="M13" s="18"/>
      <c r="N13" s="21"/>
      <c r="O13" s="21"/>
      <c r="P13" s="16"/>
      <c r="Q13" s="15"/>
      <c r="R13" s="16"/>
      <c r="V13" s="24"/>
      <c r="W13" s="24"/>
      <c r="X13" s="24"/>
    </row>
    <row r="14" spans="2:24" ht="13.5" customHeight="1" x14ac:dyDescent="0.3">
      <c r="B14" s="7" t="s">
        <v>10</v>
      </c>
      <c r="C14" s="17">
        <v>3993</v>
      </c>
      <c r="I14" s="33"/>
      <c r="J14" s="34"/>
      <c r="L14" s="18"/>
      <c r="M14" s="18"/>
      <c r="N14" s="21"/>
      <c r="O14" s="21"/>
      <c r="P14" s="16"/>
      <c r="Q14" s="15"/>
      <c r="R14" s="16"/>
      <c r="V14" s="24"/>
      <c r="W14" s="24"/>
      <c r="X14" s="24"/>
    </row>
    <row r="15" spans="2:24" ht="13.5" customHeight="1" x14ac:dyDescent="0.3">
      <c r="B15" s="7" t="s">
        <v>11</v>
      </c>
      <c r="C15" s="17">
        <v>616</v>
      </c>
      <c r="I15" s="33"/>
      <c r="J15" s="34"/>
      <c r="L15" s="18"/>
      <c r="M15" s="18"/>
      <c r="N15" s="21"/>
      <c r="O15" s="21"/>
      <c r="P15" s="16"/>
      <c r="Q15" s="15"/>
      <c r="R15" s="16"/>
      <c r="V15" s="24"/>
      <c r="W15" s="24"/>
      <c r="X15" s="24"/>
    </row>
    <row r="16" spans="2:24" ht="13.5" customHeight="1" x14ac:dyDescent="0.3">
      <c r="B16" s="7" t="s">
        <v>34</v>
      </c>
      <c r="C16" s="17"/>
      <c r="I16" s="33"/>
      <c r="J16" s="34"/>
      <c r="L16" s="18"/>
      <c r="M16" s="18"/>
      <c r="N16" s="21"/>
      <c r="O16" s="21"/>
      <c r="P16" s="16"/>
      <c r="Q16" s="15"/>
      <c r="R16" s="16"/>
    </row>
    <row r="17" spans="2:18" ht="13.5" customHeight="1" x14ac:dyDescent="0.3">
      <c r="B17" s="7" t="s">
        <v>12</v>
      </c>
      <c r="C17" s="17">
        <v>0</v>
      </c>
      <c r="I17" s="33"/>
      <c r="J17" s="34"/>
      <c r="L17" s="18"/>
      <c r="M17" s="18"/>
      <c r="N17" s="21"/>
      <c r="O17" s="21"/>
      <c r="P17" s="16"/>
      <c r="Q17" s="15"/>
      <c r="R17" s="16"/>
    </row>
    <row r="18" spans="2:18" ht="13.5" customHeight="1" x14ac:dyDescent="0.3">
      <c r="B18" s="7" t="s">
        <v>13</v>
      </c>
      <c r="C18" s="17">
        <v>0</v>
      </c>
      <c r="I18" s="33"/>
      <c r="J18" s="34"/>
      <c r="L18" s="18"/>
      <c r="M18" s="18"/>
      <c r="N18" s="21"/>
      <c r="O18" s="21"/>
      <c r="P18" s="16"/>
      <c r="Q18" s="15"/>
      <c r="R18" s="16"/>
    </row>
    <row r="19" spans="2:18" ht="13.5" customHeight="1" thickBot="1" x14ac:dyDescent="0.35">
      <c r="B19" s="7" t="s">
        <v>14</v>
      </c>
      <c r="C19" s="17">
        <v>0</v>
      </c>
      <c r="I19" s="33"/>
      <c r="J19" s="34"/>
      <c r="L19" s="18"/>
      <c r="M19" s="18"/>
      <c r="N19" s="21"/>
      <c r="O19" s="21"/>
      <c r="P19" s="16"/>
      <c r="Q19" s="15"/>
      <c r="R19" s="16"/>
    </row>
    <row r="20" spans="2:18" ht="13.5" customHeight="1" x14ac:dyDescent="0.3">
      <c r="B20" s="9" t="s">
        <v>15</v>
      </c>
      <c r="C20" s="20">
        <f>SUM(D20:H20)</f>
        <v>0</v>
      </c>
      <c r="D20" s="35">
        <f>SUM(D21:D26)</f>
        <v>0</v>
      </c>
      <c r="E20" s="35"/>
      <c r="F20" s="35"/>
      <c r="G20" s="35"/>
      <c r="H20" s="35">
        <f>H25</f>
        <v>0</v>
      </c>
      <c r="I20" s="36"/>
      <c r="J20" s="59">
        <v>66000</v>
      </c>
      <c r="L20" s="56"/>
      <c r="M20" s="56"/>
      <c r="N20" s="58"/>
      <c r="O20" s="58"/>
      <c r="P20" s="58"/>
      <c r="Q20" s="57"/>
      <c r="R20" s="59"/>
    </row>
    <row r="21" spans="2:18" ht="13.5" customHeight="1" x14ac:dyDescent="0.3">
      <c r="B21" s="7" t="s">
        <v>16</v>
      </c>
      <c r="C21" s="17">
        <v>9910</v>
      </c>
      <c r="D21" s="41"/>
      <c r="E21" s="41"/>
      <c r="F21" s="41"/>
      <c r="G21" s="41"/>
      <c r="H21" s="41"/>
      <c r="I21" s="33"/>
      <c r="J21" s="34">
        <v>10000</v>
      </c>
      <c r="L21" s="49"/>
      <c r="M21" s="49"/>
      <c r="N21" s="41"/>
      <c r="O21" s="41"/>
      <c r="P21" s="41"/>
      <c r="Q21" s="33"/>
      <c r="R21" s="34"/>
    </row>
    <row r="22" spans="2:18" ht="13.5" customHeight="1" x14ac:dyDescent="0.3">
      <c r="B22" s="7" t="s">
        <v>17</v>
      </c>
      <c r="C22" s="17">
        <v>0</v>
      </c>
      <c r="D22" s="41"/>
      <c r="E22" s="41"/>
      <c r="F22" s="41"/>
      <c r="G22" s="41"/>
      <c r="H22" s="41"/>
      <c r="I22" s="33"/>
      <c r="J22" s="34">
        <v>0</v>
      </c>
      <c r="L22" s="18"/>
      <c r="M22" s="18"/>
      <c r="N22" s="21"/>
      <c r="O22" s="21"/>
      <c r="P22" s="21"/>
      <c r="Q22" s="15"/>
      <c r="R22" s="16"/>
    </row>
    <row r="23" spans="2:18" ht="13.5" customHeight="1" x14ac:dyDescent="0.3">
      <c r="B23" s="7" t="s">
        <v>18</v>
      </c>
      <c r="C23" s="17">
        <v>0</v>
      </c>
      <c r="D23" s="41"/>
      <c r="E23" s="41"/>
      <c r="F23" s="41"/>
      <c r="G23" s="41"/>
      <c r="H23" s="41"/>
      <c r="I23" s="33"/>
      <c r="J23" s="34">
        <v>0</v>
      </c>
      <c r="L23" s="18"/>
      <c r="M23" s="18"/>
      <c r="N23" s="21"/>
      <c r="O23" s="21"/>
      <c r="P23" s="21"/>
      <c r="Q23" s="15"/>
      <c r="R23" s="16"/>
    </row>
    <row r="24" spans="2:18" ht="13.5" customHeight="1" x14ac:dyDescent="0.3">
      <c r="B24" s="7" t="s">
        <v>19</v>
      </c>
      <c r="C24" s="17">
        <v>1485</v>
      </c>
      <c r="D24" s="41"/>
      <c r="E24" s="41"/>
      <c r="F24" s="41"/>
      <c r="G24" s="41"/>
      <c r="H24" s="41"/>
      <c r="I24" s="33"/>
      <c r="J24" s="34">
        <v>0</v>
      </c>
      <c r="L24" s="49"/>
      <c r="M24" s="49"/>
      <c r="N24" s="41"/>
      <c r="O24" s="41"/>
      <c r="P24" s="41"/>
      <c r="Q24" s="33"/>
      <c r="R24" s="34"/>
    </row>
    <row r="25" spans="2:18" ht="13.5" customHeight="1" x14ac:dyDescent="0.3">
      <c r="B25" s="7" t="s">
        <v>20</v>
      </c>
      <c r="C25" s="17">
        <v>275973</v>
      </c>
      <c r="D25" s="41"/>
      <c r="E25" s="41"/>
      <c r="F25" s="41"/>
      <c r="G25" s="41"/>
      <c r="H25" s="41"/>
      <c r="I25" s="33"/>
      <c r="J25" s="34">
        <v>56000</v>
      </c>
      <c r="L25" s="49"/>
      <c r="M25" s="49"/>
      <c r="N25" s="41"/>
      <c r="O25" s="41"/>
      <c r="P25" s="41"/>
      <c r="Q25" s="33"/>
      <c r="R25" s="34"/>
    </row>
    <row r="26" spans="2:18" ht="13.5" customHeight="1" thickBot="1" x14ac:dyDescent="0.35">
      <c r="B26" s="8" t="s">
        <v>21</v>
      </c>
      <c r="C26" s="19">
        <v>75</v>
      </c>
      <c r="D26" s="38"/>
      <c r="E26" s="38"/>
      <c r="F26" s="38"/>
      <c r="G26" s="38"/>
      <c r="H26" s="38"/>
      <c r="I26" s="39"/>
      <c r="J26" s="40">
        <v>0</v>
      </c>
      <c r="L26" s="50"/>
      <c r="M26" s="50"/>
      <c r="N26" s="38"/>
      <c r="O26" s="38"/>
      <c r="P26" s="38"/>
      <c r="Q26" s="39"/>
      <c r="R26" s="40"/>
    </row>
    <row r="27" spans="2:18" ht="13.5" customHeight="1" thickBot="1" x14ac:dyDescent="0.35">
      <c r="B27" s="10" t="s">
        <v>22</v>
      </c>
      <c r="C27" s="22"/>
      <c r="D27" s="42"/>
      <c r="E27" s="42"/>
      <c r="F27" s="42"/>
      <c r="G27" s="42"/>
      <c r="H27" s="42"/>
      <c r="I27" s="43"/>
      <c r="J27" s="44">
        <v>30800</v>
      </c>
      <c r="N27" s="43">
        <v>15120</v>
      </c>
      <c r="O27" s="42"/>
      <c r="P27" s="42"/>
      <c r="Q27" s="43">
        <v>16920</v>
      </c>
      <c r="R27" s="44"/>
    </row>
    <row r="28" spans="2:18" ht="15" customHeight="1" x14ac:dyDescent="0.3"/>
    <row r="29" spans="2:18" x14ac:dyDescent="0.3">
      <c r="G29" s="2"/>
      <c r="H29" s="2"/>
      <c r="I29" s="2"/>
    </row>
    <row r="30" spans="2:18" x14ac:dyDescent="0.3">
      <c r="B30" s="11"/>
      <c r="C30" s="13"/>
    </row>
    <row r="31" spans="2:18" x14ac:dyDescent="0.3">
      <c r="G31" s="2"/>
      <c r="H31" s="2"/>
      <c r="I31" s="2"/>
    </row>
    <row r="33" spans="2:3" x14ac:dyDescent="0.3">
      <c r="B33" s="12"/>
    </row>
    <row r="34" spans="2:3" x14ac:dyDescent="0.3">
      <c r="B34" s="12"/>
    </row>
    <row r="35" spans="2:3" x14ac:dyDescent="0.3">
      <c r="B35" s="12"/>
    </row>
    <row r="36" spans="2:3" x14ac:dyDescent="0.3">
      <c r="B36" s="13"/>
      <c r="C36" s="13"/>
    </row>
    <row r="37" spans="2:3" x14ac:dyDescent="0.3">
      <c r="B37" s="12"/>
    </row>
    <row r="38" spans="2:3" x14ac:dyDescent="0.3">
      <c r="B38" s="6"/>
      <c r="C38" s="6"/>
    </row>
    <row r="39" spans="2:3" x14ac:dyDescent="0.3">
      <c r="B39" s="6"/>
      <c r="C39" s="6"/>
    </row>
    <row r="40" spans="2:3" x14ac:dyDescent="0.3">
      <c r="B40" s="6"/>
      <c r="C40" s="6"/>
    </row>
    <row r="41" spans="2:3" x14ac:dyDescent="0.3">
      <c r="B41" s="6"/>
      <c r="C41" s="6"/>
    </row>
    <row r="42" spans="2:3" x14ac:dyDescent="0.3">
      <c r="B42" s="6"/>
      <c r="C42" s="6"/>
    </row>
    <row r="43" spans="2:3" x14ac:dyDescent="0.3">
      <c r="B43" s="12"/>
    </row>
    <row r="44" spans="2:3" x14ac:dyDescent="0.3">
      <c r="B44" s="12"/>
    </row>
    <row r="45" spans="2:3" x14ac:dyDescent="0.3">
      <c r="B45" s="12"/>
    </row>
    <row r="46" spans="2:3" x14ac:dyDescent="0.3">
      <c r="B46" s="13"/>
      <c r="C46" s="13"/>
    </row>
    <row r="47" spans="2:3" x14ac:dyDescent="0.3">
      <c r="B47" s="14"/>
      <c r="C47" s="14"/>
    </row>
    <row r="48" spans="2:3" x14ac:dyDescent="0.3">
      <c r="B48" s="14"/>
      <c r="C48" s="14"/>
    </row>
    <row r="49" spans="2:3" x14ac:dyDescent="0.3">
      <c r="B49" s="14"/>
      <c r="C49" s="14"/>
    </row>
    <row r="50" spans="2:3" x14ac:dyDescent="0.3">
      <c r="B50" s="14"/>
      <c r="C50" s="14"/>
    </row>
    <row r="51" spans="2:3" x14ac:dyDescent="0.3">
      <c r="B51" s="14"/>
      <c r="C51" s="14"/>
    </row>
    <row r="52" spans="2:3" x14ac:dyDescent="0.3">
      <c r="B52" s="14"/>
      <c r="C52" s="14"/>
    </row>
    <row r="53" spans="2:3" x14ac:dyDescent="0.3">
      <c r="B53" s="14"/>
      <c r="C53" s="14"/>
    </row>
    <row r="54" spans="2:3" x14ac:dyDescent="0.3">
      <c r="B54" s="12"/>
    </row>
  </sheetData>
  <mergeCells count="2">
    <mergeCell ref="C2:J2"/>
    <mergeCell ref="L2:R2"/>
  </mergeCells>
  <printOptions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4"/>
  <sheetViews>
    <sheetView tabSelected="1" zoomScale="70" zoomScaleNormal="70" workbookViewId="0">
      <selection activeCell="C11" sqref="C11"/>
    </sheetView>
  </sheetViews>
  <sheetFormatPr defaultRowHeight="13" x14ac:dyDescent="0.3"/>
  <cols>
    <col min="1" max="1" width="3.26953125" style="2" customWidth="1"/>
    <col min="2" max="2" width="22.26953125" style="1" customWidth="1"/>
    <col min="3" max="3" width="7.81640625" style="12" customWidth="1"/>
    <col min="4" max="4" width="8.81640625" style="24" customWidth="1"/>
    <col min="5" max="5" width="6.81640625" style="24" customWidth="1"/>
    <col min="6" max="10" width="7.81640625" style="24" customWidth="1"/>
    <col min="11" max="11" width="2.453125" style="2" customWidth="1"/>
    <col min="12" max="16384" width="8.7265625" style="2"/>
  </cols>
  <sheetData>
    <row r="1" spans="2:27" ht="13.5" customHeight="1" thickBot="1" x14ac:dyDescent="0.35">
      <c r="B1" s="23" t="s">
        <v>49</v>
      </c>
    </row>
    <row r="2" spans="2:27" ht="13.5" customHeight="1" thickBot="1" x14ac:dyDescent="0.35">
      <c r="C2" s="208" t="s">
        <v>38</v>
      </c>
      <c r="D2" s="209"/>
      <c r="E2" s="209"/>
      <c r="F2" s="209"/>
      <c r="G2" s="209"/>
      <c r="H2" s="209"/>
      <c r="I2" s="209"/>
      <c r="J2" s="210"/>
      <c r="L2" s="211" t="s">
        <v>40</v>
      </c>
      <c r="M2" s="212"/>
      <c r="N2" s="212"/>
      <c r="O2" s="212"/>
      <c r="P2" s="212"/>
      <c r="Q2" s="212"/>
      <c r="R2" s="213"/>
    </row>
    <row r="3" spans="2:27" ht="39.5" customHeight="1" x14ac:dyDescent="0.3">
      <c r="B3" s="3" t="s">
        <v>0</v>
      </c>
      <c r="C3" s="25" t="s">
        <v>30</v>
      </c>
      <c r="D3" s="26" t="s">
        <v>23</v>
      </c>
      <c r="E3" s="26" t="s">
        <v>25</v>
      </c>
      <c r="F3" s="26" t="s">
        <v>26</v>
      </c>
      <c r="G3" s="26" t="s">
        <v>31</v>
      </c>
      <c r="H3" s="26" t="s">
        <v>32</v>
      </c>
      <c r="I3" s="27" t="s">
        <v>33</v>
      </c>
      <c r="J3" s="28" t="s">
        <v>27</v>
      </c>
      <c r="L3" s="25" t="s">
        <v>41</v>
      </c>
      <c r="M3" s="25" t="s">
        <v>39</v>
      </c>
      <c r="N3" s="26" t="s">
        <v>23</v>
      </c>
      <c r="O3" s="26" t="s">
        <v>24</v>
      </c>
      <c r="P3" s="28" t="s">
        <v>25</v>
      </c>
      <c r="Q3" s="27" t="s">
        <v>33</v>
      </c>
      <c r="R3" s="28" t="s">
        <v>27</v>
      </c>
      <c r="V3" s="24"/>
      <c r="W3" s="24"/>
      <c r="X3" s="24"/>
      <c r="Y3" s="24"/>
      <c r="Z3" s="24"/>
      <c r="AA3" s="24"/>
    </row>
    <row r="4" spans="2:27" ht="13.5" customHeight="1" thickBot="1" x14ac:dyDescent="0.35">
      <c r="B4" s="4">
        <v>2013</v>
      </c>
      <c r="C4" s="29" t="s">
        <v>29</v>
      </c>
      <c r="D4" s="30" t="s">
        <v>29</v>
      </c>
      <c r="E4" s="30" t="s">
        <v>29</v>
      </c>
      <c r="F4" s="30" t="s">
        <v>29</v>
      </c>
      <c r="G4" s="30" t="s">
        <v>29</v>
      </c>
      <c r="H4" s="30" t="s">
        <v>29</v>
      </c>
      <c r="I4" s="31" t="s">
        <v>29</v>
      </c>
      <c r="J4" s="32" t="s">
        <v>28</v>
      </c>
      <c r="L4" s="29" t="s">
        <v>29</v>
      </c>
      <c r="M4" s="29" t="s">
        <v>29</v>
      </c>
      <c r="N4" s="30" t="s">
        <v>29</v>
      </c>
      <c r="O4" s="30" t="s">
        <v>29</v>
      </c>
      <c r="P4" s="32" t="s">
        <v>29</v>
      </c>
      <c r="Q4" s="31" t="s">
        <v>29</v>
      </c>
      <c r="R4" s="32" t="s">
        <v>28</v>
      </c>
      <c r="V4" s="24"/>
      <c r="W4" s="24"/>
      <c r="X4" s="24"/>
      <c r="Y4" s="24"/>
      <c r="Z4" s="24"/>
      <c r="AA4" s="24"/>
    </row>
    <row r="5" spans="2:27" ht="13.5" customHeight="1" x14ac:dyDescent="0.3">
      <c r="B5" s="5" t="s">
        <v>1</v>
      </c>
      <c r="C5" s="45">
        <v>50311</v>
      </c>
      <c r="D5" s="35">
        <v>88966.503360000002</v>
      </c>
      <c r="E5" s="35">
        <v>0</v>
      </c>
      <c r="F5" s="35">
        <v>0</v>
      </c>
      <c r="G5" s="35">
        <v>12994</v>
      </c>
      <c r="H5" s="35">
        <v>0</v>
      </c>
      <c r="I5" s="36">
        <v>3836</v>
      </c>
      <c r="J5" s="37">
        <v>6000</v>
      </c>
      <c r="L5" s="49">
        <f>SUM(N5:Q5)</f>
        <v>25094.304978980927</v>
      </c>
      <c r="M5" s="49">
        <f>SUM(N5:O5,Q5)</f>
        <v>25094.304978980927</v>
      </c>
      <c r="N5" s="74">
        <v>8161.5659070488991</v>
      </c>
      <c r="O5" s="74">
        <v>13040.239071932026</v>
      </c>
      <c r="P5" s="75"/>
      <c r="Q5" s="33">
        <v>3892.5</v>
      </c>
      <c r="R5" s="34"/>
      <c r="V5" s="24"/>
      <c r="W5" s="24"/>
      <c r="X5" s="24"/>
      <c r="Y5" s="24"/>
      <c r="Z5" s="24"/>
      <c r="AA5" s="24"/>
    </row>
    <row r="6" spans="2:27" ht="13.5" customHeight="1" x14ac:dyDescent="0.3">
      <c r="B6" s="7" t="s">
        <v>2</v>
      </c>
      <c r="C6" s="17">
        <v>12976</v>
      </c>
      <c r="D6" s="41"/>
      <c r="E6" s="41"/>
      <c r="F6" s="41"/>
      <c r="G6" s="41"/>
      <c r="H6" s="41"/>
      <c r="I6" s="33"/>
      <c r="J6" s="34">
        <v>59000</v>
      </c>
      <c r="L6" s="49">
        <f>SUM(N6:Q6)</f>
        <v>13678.23768095374</v>
      </c>
      <c r="M6" s="49"/>
      <c r="N6" s="41">
        <v>357.23768095373998</v>
      </c>
      <c r="O6" s="41"/>
      <c r="P6" s="34"/>
      <c r="Q6" s="33">
        <v>13321</v>
      </c>
      <c r="R6" s="34">
        <v>43000</v>
      </c>
      <c r="V6" s="24"/>
      <c r="W6" s="24"/>
      <c r="X6" s="24"/>
      <c r="Y6" s="24"/>
      <c r="Z6" s="24"/>
      <c r="AA6" s="24"/>
    </row>
    <row r="7" spans="2:27" ht="13.5" customHeight="1" x14ac:dyDescent="0.3">
      <c r="B7" s="7" t="s">
        <v>3</v>
      </c>
      <c r="C7" s="17">
        <v>10674</v>
      </c>
      <c r="D7" s="41"/>
      <c r="E7" s="41"/>
      <c r="F7" s="41"/>
      <c r="G7" s="41"/>
      <c r="H7" s="41"/>
      <c r="I7" s="33"/>
      <c r="J7" s="34">
        <v>56000</v>
      </c>
      <c r="L7" s="49">
        <f>SUM(N7:Q7)</f>
        <v>4937.7737584626402</v>
      </c>
      <c r="M7" s="49"/>
      <c r="N7" s="41">
        <v>699.27375846263999</v>
      </c>
      <c r="O7" s="41"/>
      <c r="P7" s="34"/>
      <c r="Q7" s="33">
        <v>4238.5</v>
      </c>
      <c r="R7" s="34">
        <v>7000</v>
      </c>
      <c r="V7" s="24"/>
      <c r="W7" s="24"/>
      <c r="X7" s="24"/>
      <c r="Y7" s="24"/>
      <c r="Z7" s="24"/>
      <c r="AA7" s="24"/>
    </row>
    <row r="8" spans="2:27" ht="13.5" customHeight="1" x14ac:dyDescent="0.3">
      <c r="B8" s="7" t="s">
        <v>4</v>
      </c>
      <c r="C8" s="17">
        <v>0</v>
      </c>
      <c r="D8" s="41"/>
      <c r="E8" s="41"/>
      <c r="F8" s="41"/>
      <c r="G8" s="41"/>
      <c r="H8" s="41"/>
      <c r="I8" s="33"/>
      <c r="J8" s="34"/>
      <c r="L8" s="49"/>
      <c r="M8" s="49"/>
      <c r="N8" s="21"/>
      <c r="O8" s="21"/>
      <c r="P8" s="16"/>
      <c r="Q8" s="15"/>
      <c r="R8" s="16"/>
      <c r="V8" s="24"/>
      <c r="W8" s="24"/>
      <c r="X8" s="24"/>
      <c r="Y8" s="24"/>
      <c r="Z8" s="24"/>
      <c r="AA8" s="24"/>
    </row>
    <row r="9" spans="2:27" ht="13.5" customHeight="1" x14ac:dyDescent="0.3">
      <c r="B9" s="7" t="s">
        <v>5</v>
      </c>
      <c r="C9" s="17"/>
      <c r="D9" s="41"/>
      <c r="E9" s="41"/>
      <c r="F9" s="41"/>
      <c r="G9" s="41"/>
      <c r="H9" s="41"/>
      <c r="I9" s="33"/>
      <c r="J9" s="34"/>
      <c r="L9" s="49"/>
      <c r="M9" s="49"/>
      <c r="N9" s="21"/>
      <c r="O9" s="21"/>
      <c r="P9" s="16"/>
      <c r="Q9" s="15"/>
      <c r="R9" s="16"/>
      <c r="V9" s="24"/>
      <c r="W9" s="24"/>
      <c r="X9" s="24"/>
      <c r="Y9" s="24"/>
      <c r="Z9" s="24"/>
      <c r="AA9" s="24"/>
    </row>
    <row r="10" spans="2:27" ht="13.5" customHeight="1" thickBot="1" x14ac:dyDescent="0.35">
      <c r="B10" s="46" t="s">
        <v>6</v>
      </c>
      <c r="C10" s="47">
        <f>SUM(D10:H10)</f>
        <v>88966.503360000002</v>
      </c>
      <c r="D10" s="38">
        <f>D5+D6-D7+D8</f>
        <v>88966.503360000002</v>
      </c>
      <c r="E10" s="38"/>
      <c r="F10" s="38"/>
      <c r="G10" s="38"/>
      <c r="H10" s="38">
        <f>H5</f>
        <v>0</v>
      </c>
      <c r="I10" s="39"/>
      <c r="J10" s="62">
        <v>9000</v>
      </c>
      <c r="L10" s="51">
        <f>SUM(N10:Q10)</f>
        <v>33834.768901472024</v>
      </c>
      <c r="M10" s="51"/>
      <c r="N10" s="53">
        <v>7819.5298295399989</v>
      </c>
      <c r="O10" s="53">
        <v>13040.239071932026</v>
      </c>
      <c r="P10" s="54"/>
      <c r="Q10" s="52">
        <v>12975</v>
      </c>
      <c r="R10" s="54">
        <v>36000</v>
      </c>
      <c r="V10" s="24"/>
      <c r="W10" s="24"/>
      <c r="X10" s="24"/>
      <c r="Y10" s="24"/>
      <c r="Z10" s="24"/>
      <c r="AA10" s="24"/>
    </row>
    <row r="11" spans="2:27" ht="13.5" customHeight="1" thickBot="1" x14ac:dyDescent="0.35">
      <c r="B11" s="8" t="s">
        <v>7</v>
      </c>
      <c r="C11" s="19">
        <v>0</v>
      </c>
      <c r="D11" s="38"/>
      <c r="E11" s="38"/>
      <c r="F11" s="38"/>
      <c r="G11" s="38"/>
      <c r="H11" s="38"/>
      <c r="I11" s="39"/>
      <c r="J11" s="40"/>
      <c r="L11" s="55">
        <f>SUM(N11:Q11)</f>
        <v>986.10000000000036</v>
      </c>
      <c r="M11" s="55"/>
      <c r="N11" s="67"/>
      <c r="O11" s="67"/>
      <c r="P11" s="68"/>
      <c r="Q11" s="43">
        <v>986.10000000000036</v>
      </c>
      <c r="R11" s="44">
        <v>4000</v>
      </c>
      <c r="V11" s="24"/>
      <c r="W11" s="24"/>
      <c r="X11" s="24"/>
      <c r="Y11" s="24"/>
      <c r="Z11" s="24"/>
      <c r="AA11" s="24"/>
    </row>
    <row r="12" spans="2:27" ht="13.5" customHeight="1" x14ac:dyDescent="0.3">
      <c r="B12" s="7" t="s">
        <v>8</v>
      </c>
      <c r="C12" s="17">
        <v>16364</v>
      </c>
      <c r="I12" s="33"/>
      <c r="J12" s="34"/>
      <c r="L12" s="49">
        <f>SUM(N12:Q12)</f>
        <v>21237.716680027057</v>
      </c>
      <c r="M12" s="49"/>
      <c r="N12" s="41">
        <v>1148.3225623799999</v>
      </c>
      <c r="O12" s="41">
        <v>8723.2941176470595</v>
      </c>
      <c r="P12" s="34"/>
      <c r="Q12" s="33">
        <v>11366.1</v>
      </c>
      <c r="R12" s="34"/>
      <c r="V12" s="24"/>
      <c r="W12" s="24"/>
      <c r="X12" s="24"/>
      <c r="Y12" s="24"/>
      <c r="Z12" s="24"/>
      <c r="AA12" s="24"/>
    </row>
    <row r="13" spans="2:27" ht="13.5" customHeight="1" x14ac:dyDescent="0.3">
      <c r="B13" s="7" t="s">
        <v>9</v>
      </c>
      <c r="C13" s="17">
        <f>SUM(D13:H13)</f>
        <v>0</v>
      </c>
      <c r="I13" s="33"/>
      <c r="J13" s="34"/>
      <c r="L13" s="18"/>
      <c r="M13" s="18"/>
      <c r="N13" s="21"/>
      <c r="O13" s="21"/>
      <c r="P13" s="16"/>
      <c r="Q13" s="15"/>
      <c r="R13" s="16"/>
      <c r="V13" s="24"/>
      <c r="W13" s="24"/>
      <c r="X13" s="24"/>
      <c r="Y13" s="24"/>
      <c r="Z13" s="24"/>
      <c r="AA13" s="24"/>
    </row>
    <row r="14" spans="2:27" ht="13.5" customHeight="1" x14ac:dyDescent="0.3">
      <c r="B14" s="7" t="s">
        <v>10</v>
      </c>
      <c r="C14" s="17">
        <v>76</v>
      </c>
      <c r="I14" s="33"/>
      <c r="J14" s="34"/>
      <c r="L14" s="18"/>
      <c r="M14" s="18"/>
      <c r="N14" s="21"/>
      <c r="O14" s="21"/>
      <c r="P14" s="16"/>
      <c r="Q14" s="15"/>
      <c r="R14" s="16"/>
      <c r="U14" s="24"/>
      <c r="V14" s="24"/>
      <c r="W14" s="24"/>
      <c r="X14" s="24"/>
      <c r="Y14" s="24"/>
      <c r="Z14" s="24"/>
      <c r="AA14" s="24"/>
    </row>
    <row r="15" spans="2:27" ht="13.5" customHeight="1" x14ac:dyDescent="0.3">
      <c r="B15" s="7" t="s">
        <v>11</v>
      </c>
      <c r="C15" s="17">
        <v>360</v>
      </c>
      <c r="I15" s="33"/>
      <c r="J15" s="34"/>
      <c r="L15" s="18"/>
      <c r="M15" s="18"/>
      <c r="N15" s="21"/>
      <c r="O15" s="21"/>
      <c r="P15" s="16"/>
      <c r="Q15" s="15"/>
      <c r="R15" s="16"/>
      <c r="U15" s="24"/>
      <c r="V15" s="24"/>
      <c r="W15" s="24"/>
      <c r="X15" s="24"/>
      <c r="Y15" s="24"/>
      <c r="Z15" s="24"/>
      <c r="AA15" s="24"/>
    </row>
    <row r="16" spans="2:27" ht="13.5" customHeight="1" x14ac:dyDescent="0.3">
      <c r="B16" s="7" t="s">
        <v>34</v>
      </c>
      <c r="C16" s="17"/>
      <c r="I16" s="33"/>
      <c r="J16" s="34"/>
      <c r="L16" s="18"/>
      <c r="M16" s="18"/>
      <c r="N16" s="21"/>
      <c r="O16" s="21"/>
      <c r="P16" s="16"/>
      <c r="Q16" s="15"/>
      <c r="R16" s="16"/>
      <c r="U16" s="24"/>
      <c r="V16" s="24"/>
      <c r="W16" s="24"/>
      <c r="X16" s="24"/>
      <c r="Y16" s="24"/>
      <c r="Z16" s="24"/>
      <c r="AA16" s="24"/>
    </row>
    <row r="17" spans="2:27" ht="13.5" customHeight="1" x14ac:dyDescent="0.3">
      <c r="B17" s="7" t="s">
        <v>12</v>
      </c>
      <c r="C17" s="17">
        <v>0</v>
      </c>
      <c r="I17" s="33"/>
      <c r="J17" s="34"/>
      <c r="L17" s="18"/>
      <c r="M17" s="18"/>
      <c r="N17" s="21"/>
      <c r="O17" s="21"/>
      <c r="P17" s="16"/>
      <c r="Q17" s="15"/>
      <c r="R17" s="16"/>
      <c r="U17" s="24"/>
      <c r="V17" s="24"/>
      <c r="W17" s="24"/>
      <c r="X17" s="24"/>
      <c r="Y17" s="24"/>
      <c r="Z17" s="24"/>
      <c r="AA17" s="24"/>
    </row>
    <row r="18" spans="2:27" ht="13.5" customHeight="1" x14ac:dyDescent="0.3">
      <c r="B18" s="7" t="s">
        <v>13</v>
      </c>
      <c r="C18" s="17">
        <v>0</v>
      </c>
      <c r="I18" s="33"/>
      <c r="J18" s="34"/>
      <c r="L18" s="18"/>
      <c r="M18" s="18"/>
      <c r="N18" s="21"/>
      <c r="O18" s="21"/>
      <c r="P18" s="16"/>
      <c r="Q18" s="15"/>
      <c r="R18" s="16"/>
      <c r="U18" s="24"/>
      <c r="V18" s="24"/>
      <c r="W18" s="24"/>
      <c r="X18" s="24"/>
      <c r="Y18" s="24"/>
      <c r="Z18" s="24"/>
      <c r="AA18" s="24"/>
    </row>
    <row r="19" spans="2:27" ht="13.5" customHeight="1" thickBot="1" x14ac:dyDescent="0.35">
      <c r="B19" s="7" t="s">
        <v>14</v>
      </c>
      <c r="C19" s="17">
        <v>0</v>
      </c>
      <c r="I19" s="33"/>
      <c r="J19" s="34"/>
      <c r="L19" s="18"/>
      <c r="M19" s="18"/>
      <c r="N19" s="21"/>
      <c r="O19" s="21"/>
      <c r="P19" s="16"/>
      <c r="Q19" s="15"/>
      <c r="R19" s="16"/>
      <c r="U19" s="24"/>
      <c r="V19" s="24"/>
      <c r="W19" s="24"/>
      <c r="X19" s="24"/>
      <c r="Y19" s="24"/>
      <c r="Z19" s="24"/>
      <c r="AA19" s="24"/>
    </row>
    <row r="20" spans="2:27" ht="13.5" customHeight="1" x14ac:dyDescent="0.3">
      <c r="B20" s="9" t="s">
        <v>15</v>
      </c>
      <c r="C20" s="20">
        <f>SUM(D20:H20)</f>
        <v>0</v>
      </c>
      <c r="D20" s="35">
        <f>SUM(D21:D26)</f>
        <v>0</v>
      </c>
      <c r="E20" s="35"/>
      <c r="F20" s="35"/>
      <c r="G20" s="35"/>
      <c r="H20" s="35">
        <f>H25</f>
        <v>0</v>
      </c>
      <c r="I20" s="36"/>
      <c r="J20" s="59">
        <v>9000</v>
      </c>
      <c r="L20" s="56">
        <f>SUM(N20:Q20)</f>
        <v>11610.952221444964</v>
      </c>
      <c r="M20" s="56"/>
      <c r="N20" s="58">
        <f t="shared" ref="N20:R20" si="0">SUM(N21:N26)</f>
        <v>6671.207267159999</v>
      </c>
      <c r="O20" s="58">
        <f t="shared" si="0"/>
        <v>4316.944954284967</v>
      </c>
      <c r="P20" s="58"/>
      <c r="Q20" s="57">
        <f t="shared" si="0"/>
        <v>622.80000000000007</v>
      </c>
      <c r="R20" s="59">
        <f t="shared" si="0"/>
        <v>32000</v>
      </c>
      <c r="U20" s="24"/>
      <c r="V20" s="24"/>
      <c r="W20" s="24"/>
      <c r="X20" s="24"/>
      <c r="Y20" s="24"/>
      <c r="Z20" s="24"/>
      <c r="AA20" s="24"/>
    </row>
    <row r="21" spans="2:27" ht="13.5" customHeight="1" x14ac:dyDescent="0.3">
      <c r="B21" s="7" t="s">
        <v>16</v>
      </c>
      <c r="C21" s="17">
        <v>2776</v>
      </c>
      <c r="D21" s="41"/>
      <c r="E21" s="41"/>
      <c r="F21" s="41"/>
      <c r="G21" s="41"/>
      <c r="H21" s="41"/>
      <c r="I21" s="33"/>
      <c r="J21" s="34"/>
      <c r="L21" s="49">
        <f>SUM(N21:Q21)</f>
        <v>1713.8675367713913</v>
      </c>
      <c r="M21" s="49"/>
      <c r="N21" s="41"/>
      <c r="O21" s="41">
        <v>1713.8675367713913</v>
      </c>
      <c r="P21" s="41"/>
      <c r="Q21" s="33"/>
      <c r="R21" s="34"/>
      <c r="U21" s="24"/>
    </row>
    <row r="22" spans="2:27" ht="13.5" customHeight="1" x14ac:dyDescent="0.3">
      <c r="B22" s="7" t="s">
        <v>17</v>
      </c>
      <c r="C22" s="17">
        <v>0</v>
      </c>
      <c r="D22" s="41"/>
      <c r="E22" s="41"/>
      <c r="F22" s="41"/>
      <c r="G22" s="41"/>
      <c r="H22" s="41"/>
      <c r="I22" s="33"/>
      <c r="J22" s="34"/>
      <c r="L22" s="18"/>
      <c r="M22" s="18"/>
      <c r="N22" s="21"/>
      <c r="O22" s="21"/>
      <c r="P22" s="21"/>
      <c r="Q22" s="15"/>
      <c r="R22" s="16"/>
      <c r="U22" s="24"/>
    </row>
    <row r="23" spans="2:27" ht="13.5" customHeight="1" x14ac:dyDescent="0.3">
      <c r="B23" s="7" t="s">
        <v>18</v>
      </c>
      <c r="C23" s="17">
        <v>0</v>
      </c>
      <c r="D23" s="41"/>
      <c r="E23" s="41"/>
      <c r="F23" s="41"/>
      <c r="G23" s="41"/>
      <c r="H23" s="41"/>
      <c r="I23" s="33"/>
      <c r="J23" s="34"/>
      <c r="L23" s="18"/>
      <c r="M23" s="18"/>
      <c r="N23" s="21"/>
      <c r="O23" s="21"/>
      <c r="P23" s="21"/>
      <c r="Q23" s="15"/>
      <c r="R23" s="16"/>
      <c r="U23" s="24"/>
    </row>
    <row r="24" spans="2:27" ht="13.5" customHeight="1" x14ac:dyDescent="0.3">
      <c r="B24" s="7" t="s">
        <v>19</v>
      </c>
      <c r="C24" s="17">
        <v>474</v>
      </c>
      <c r="D24" s="41"/>
      <c r="E24" s="41"/>
      <c r="F24" s="41"/>
      <c r="G24" s="41"/>
      <c r="H24" s="41"/>
      <c r="I24" s="33"/>
      <c r="J24" s="34"/>
      <c r="L24" s="49"/>
      <c r="M24" s="49"/>
      <c r="N24" s="41"/>
      <c r="O24" s="41"/>
      <c r="P24" s="41"/>
      <c r="Q24" s="33"/>
      <c r="R24" s="34"/>
    </row>
    <row r="25" spans="2:27" ht="13.5" customHeight="1" x14ac:dyDescent="0.3">
      <c r="B25" s="7" t="s">
        <v>20</v>
      </c>
      <c r="C25" s="17">
        <v>17640</v>
      </c>
      <c r="D25" s="41"/>
      <c r="E25" s="41"/>
      <c r="F25" s="41"/>
      <c r="G25" s="41"/>
      <c r="H25" s="41"/>
      <c r="I25" s="33"/>
      <c r="J25" s="34">
        <v>9000</v>
      </c>
      <c r="L25" s="49">
        <f t="shared" ref="L25:L26" si="1">SUM(N25:Q25)</f>
        <v>8581.9531224247039</v>
      </c>
      <c r="M25" s="49"/>
      <c r="N25" s="41">
        <v>6215.5237106599989</v>
      </c>
      <c r="O25" s="41">
        <v>2141.5294117647059</v>
      </c>
      <c r="P25" s="41"/>
      <c r="Q25" s="33">
        <v>224.9</v>
      </c>
      <c r="R25" s="34">
        <v>32000</v>
      </c>
    </row>
    <row r="26" spans="2:27" ht="13.5" customHeight="1" thickBot="1" x14ac:dyDescent="0.35">
      <c r="B26" s="8" t="s">
        <v>21</v>
      </c>
      <c r="C26" s="19">
        <v>2740</v>
      </c>
      <c r="D26" s="38"/>
      <c r="E26" s="38"/>
      <c r="F26" s="38"/>
      <c r="G26" s="38"/>
      <c r="H26" s="38"/>
      <c r="I26" s="39"/>
      <c r="J26" s="40"/>
      <c r="L26" s="50">
        <f t="shared" si="1"/>
        <v>1315.1315622488696</v>
      </c>
      <c r="M26" s="50"/>
      <c r="N26" s="38">
        <v>455.6835564999999</v>
      </c>
      <c r="O26" s="38">
        <v>461.54800574886957</v>
      </c>
      <c r="P26" s="38"/>
      <c r="Q26" s="39">
        <v>397.90000000000003</v>
      </c>
      <c r="R26" s="40"/>
    </row>
    <row r="27" spans="2:27" ht="13.5" customHeight="1" thickBot="1" x14ac:dyDescent="0.35">
      <c r="B27" s="10" t="s">
        <v>22</v>
      </c>
      <c r="C27" s="22"/>
      <c r="D27" s="42"/>
      <c r="E27" s="42"/>
      <c r="F27" s="42"/>
      <c r="G27" s="42"/>
      <c r="H27" s="42"/>
      <c r="I27" s="43"/>
      <c r="J27" s="44">
        <v>30000</v>
      </c>
      <c r="N27" s="43">
        <v>14581.873807999998</v>
      </c>
      <c r="O27" s="42">
        <v>14581.873807999998</v>
      </c>
      <c r="P27" s="42">
        <v>12460</v>
      </c>
      <c r="Q27" s="43">
        <v>17300</v>
      </c>
      <c r="R27" s="44">
        <v>30000</v>
      </c>
    </row>
    <row r="28" spans="2:27" ht="15" customHeight="1" x14ac:dyDescent="0.3"/>
    <row r="30" spans="2:27" x14ac:dyDescent="0.3">
      <c r="B30" s="11"/>
      <c r="C30" s="13"/>
      <c r="G30" s="2"/>
      <c r="H30" s="2"/>
      <c r="I30" s="2"/>
    </row>
    <row r="33" spans="2:3" x14ac:dyDescent="0.3">
      <c r="B33" s="12"/>
    </row>
    <row r="34" spans="2:3" x14ac:dyDescent="0.3">
      <c r="B34" s="12"/>
    </row>
    <row r="35" spans="2:3" x14ac:dyDescent="0.3">
      <c r="B35" s="12"/>
    </row>
    <row r="36" spans="2:3" x14ac:dyDescent="0.3">
      <c r="B36" s="13"/>
      <c r="C36" s="13"/>
    </row>
    <row r="37" spans="2:3" x14ac:dyDescent="0.3">
      <c r="B37" s="12"/>
    </row>
    <row r="38" spans="2:3" x14ac:dyDescent="0.3">
      <c r="B38" s="6"/>
      <c r="C38" s="6"/>
    </row>
    <row r="39" spans="2:3" x14ac:dyDescent="0.3">
      <c r="B39" s="6"/>
      <c r="C39" s="6"/>
    </row>
    <row r="40" spans="2:3" x14ac:dyDescent="0.3">
      <c r="B40" s="6"/>
      <c r="C40" s="6"/>
    </row>
    <row r="41" spans="2:3" x14ac:dyDescent="0.3">
      <c r="B41" s="6"/>
      <c r="C41" s="6"/>
    </row>
    <row r="42" spans="2:3" x14ac:dyDescent="0.3">
      <c r="B42" s="6"/>
      <c r="C42" s="6"/>
    </row>
    <row r="43" spans="2:3" x14ac:dyDescent="0.3">
      <c r="B43" s="12"/>
    </row>
    <row r="44" spans="2:3" x14ac:dyDescent="0.3">
      <c r="B44" s="12"/>
    </row>
    <row r="45" spans="2:3" x14ac:dyDescent="0.3">
      <c r="B45" s="12"/>
    </row>
    <row r="46" spans="2:3" x14ac:dyDescent="0.3">
      <c r="B46" s="13"/>
      <c r="C46" s="13"/>
    </row>
    <row r="47" spans="2:3" x14ac:dyDescent="0.3">
      <c r="B47" s="14"/>
      <c r="C47" s="14"/>
    </row>
    <row r="48" spans="2:3" x14ac:dyDescent="0.3">
      <c r="B48" s="14"/>
      <c r="C48" s="14"/>
    </row>
    <row r="49" spans="2:3" x14ac:dyDescent="0.3">
      <c r="B49" s="14"/>
      <c r="C49" s="14"/>
    </row>
    <row r="50" spans="2:3" x14ac:dyDescent="0.3">
      <c r="B50" s="14"/>
      <c r="C50" s="14"/>
    </row>
    <row r="51" spans="2:3" x14ac:dyDescent="0.3">
      <c r="B51" s="14"/>
      <c r="C51" s="14"/>
    </row>
    <row r="52" spans="2:3" x14ac:dyDescent="0.3">
      <c r="B52" s="14"/>
      <c r="C52" s="14"/>
    </row>
    <row r="53" spans="2:3" x14ac:dyDescent="0.3">
      <c r="B53" s="14"/>
      <c r="C53" s="14"/>
    </row>
    <row r="54" spans="2:3" x14ac:dyDescent="0.3">
      <c r="B54" s="12"/>
    </row>
  </sheetData>
  <mergeCells count="2">
    <mergeCell ref="C2:J2"/>
    <mergeCell ref="L2:R2"/>
  </mergeCells>
  <printOptions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4"/>
  <sheetViews>
    <sheetView tabSelected="1" zoomScale="70" zoomScaleNormal="70" workbookViewId="0">
      <selection activeCell="C11" sqref="C11"/>
    </sheetView>
  </sheetViews>
  <sheetFormatPr defaultRowHeight="13" x14ac:dyDescent="0.3"/>
  <cols>
    <col min="1" max="1" width="3.26953125" style="2" customWidth="1"/>
    <col min="2" max="2" width="22.26953125" style="1" customWidth="1"/>
    <col min="3" max="3" width="7.81640625" style="12" customWidth="1"/>
    <col min="4" max="4" width="8.81640625" style="24" customWidth="1"/>
    <col min="5" max="5" width="6.81640625" style="24" customWidth="1"/>
    <col min="6" max="10" width="7.81640625" style="24" customWidth="1"/>
    <col min="11" max="11" width="2.453125" style="2" customWidth="1"/>
    <col min="12" max="16384" width="8.7265625" style="2"/>
  </cols>
  <sheetData>
    <row r="1" spans="2:24" ht="13.5" customHeight="1" thickBot="1" x14ac:dyDescent="0.35">
      <c r="B1" s="23" t="s">
        <v>56</v>
      </c>
    </row>
    <row r="2" spans="2:24" ht="13.5" customHeight="1" thickBot="1" x14ac:dyDescent="0.35">
      <c r="C2" s="208" t="s">
        <v>38</v>
      </c>
      <c r="D2" s="209"/>
      <c r="E2" s="209"/>
      <c r="F2" s="209"/>
      <c r="G2" s="209"/>
      <c r="H2" s="209"/>
      <c r="I2" s="209"/>
      <c r="J2" s="210"/>
      <c r="L2" s="211" t="s">
        <v>76</v>
      </c>
      <c r="M2" s="212"/>
      <c r="N2" s="212"/>
      <c r="O2" s="212"/>
      <c r="P2" s="212"/>
      <c r="Q2" s="212"/>
      <c r="R2" s="213"/>
    </row>
    <row r="3" spans="2:24" ht="39.5" customHeight="1" x14ac:dyDescent="0.3">
      <c r="B3" s="3" t="s">
        <v>0</v>
      </c>
      <c r="C3" s="25" t="s">
        <v>30</v>
      </c>
      <c r="D3" s="26" t="s">
        <v>23</v>
      </c>
      <c r="E3" s="26" t="s">
        <v>25</v>
      </c>
      <c r="F3" s="26" t="s">
        <v>26</v>
      </c>
      <c r="G3" s="26" t="s">
        <v>31</v>
      </c>
      <c r="H3" s="26" t="s">
        <v>32</v>
      </c>
      <c r="I3" s="27" t="s">
        <v>33</v>
      </c>
      <c r="J3" s="28" t="s">
        <v>27</v>
      </c>
      <c r="L3" s="25" t="s">
        <v>41</v>
      </c>
      <c r="M3" s="25" t="s">
        <v>39</v>
      </c>
      <c r="N3" s="26" t="s">
        <v>23</v>
      </c>
      <c r="O3" s="26" t="s">
        <v>24</v>
      </c>
      <c r="P3" s="28" t="s">
        <v>25</v>
      </c>
      <c r="Q3" s="27" t="s">
        <v>33</v>
      </c>
      <c r="R3" s="28" t="s">
        <v>27</v>
      </c>
    </row>
    <row r="4" spans="2:24" ht="13.5" customHeight="1" thickBot="1" x14ac:dyDescent="0.35">
      <c r="B4" s="4">
        <v>2013</v>
      </c>
      <c r="C4" s="29" t="s">
        <v>29</v>
      </c>
      <c r="D4" s="30" t="s">
        <v>29</v>
      </c>
      <c r="E4" s="30" t="s">
        <v>29</v>
      </c>
      <c r="F4" s="30" t="s">
        <v>29</v>
      </c>
      <c r="G4" s="30" t="s">
        <v>29</v>
      </c>
      <c r="H4" s="30" t="s">
        <v>29</v>
      </c>
      <c r="I4" s="31" t="s">
        <v>29</v>
      </c>
      <c r="J4" s="32" t="s">
        <v>28</v>
      </c>
      <c r="L4" s="29" t="s">
        <v>29</v>
      </c>
      <c r="M4" s="29" t="s">
        <v>29</v>
      </c>
      <c r="N4" s="30" t="s">
        <v>29</v>
      </c>
      <c r="O4" s="30" t="s">
        <v>29</v>
      </c>
      <c r="P4" s="32" t="s">
        <v>29</v>
      </c>
      <c r="Q4" s="72" t="s">
        <v>29</v>
      </c>
      <c r="R4" s="73" t="s">
        <v>28</v>
      </c>
      <c r="V4" s="2" t="s">
        <v>80</v>
      </c>
      <c r="W4" s="2" t="s">
        <v>81</v>
      </c>
      <c r="X4" s="2" t="s">
        <v>82</v>
      </c>
    </row>
    <row r="5" spans="2:24" ht="13.5" customHeight="1" x14ac:dyDescent="0.3">
      <c r="B5" s="5" t="s">
        <v>1</v>
      </c>
      <c r="C5" s="45">
        <v>217914</v>
      </c>
      <c r="D5" s="35">
        <v>88966.503360000002</v>
      </c>
      <c r="E5" s="35">
        <v>20532</v>
      </c>
      <c r="F5" s="35">
        <v>13645</v>
      </c>
      <c r="G5" s="35">
        <v>34189</v>
      </c>
      <c r="H5" s="35">
        <v>567</v>
      </c>
      <c r="I5" s="36">
        <v>2599</v>
      </c>
      <c r="J5" s="37">
        <v>36000</v>
      </c>
      <c r="L5" s="49">
        <f>SUM(N5:Q5)</f>
        <v>44874.899999999994</v>
      </c>
      <c r="M5" s="49">
        <f>SUM(N5:O5,Q5)</f>
        <v>44874.899999999994</v>
      </c>
      <c r="N5" s="36">
        <f>W7*N$27/1000000*0.75</f>
        <v>38952.899999999994</v>
      </c>
      <c r="O5" s="74"/>
      <c r="P5" s="74"/>
      <c r="Q5" s="36">
        <f>X7*Q$27/1000000</f>
        <v>5922</v>
      </c>
      <c r="R5" s="37">
        <f>V7</f>
        <v>0</v>
      </c>
      <c r="U5" s="2" t="s">
        <v>79</v>
      </c>
      <c r="V5" s="24">
        <v>27785</v>
      </c>
      <c r="W5" s="24">
        <v>98032</v>
      </c>
      <c r="X5" s="24">
        <v>46671</v>
      </c>
    </row>
    <row r="6" spans="2:24" ht="13.5" customHeight="1" x14ac:dyDescent="0.3">
      <c r="B6" s="7" t="s">
        <v>2</v>
      </c>
      <c r="C6" s="17">
        <v>12976</v>
      </c>
      <c r="D6" s="41"/>
      <c r="E6" s="41"/>
      <c r="F6" s="41"/>
      <c r="G6" s="41"/>
      <c r="H6" s="41"/>
      <c r="I6" s="33"/>
      <c r="J6" s="34"/>
      <c r="L6" s="49">
        <f>SUM(N6:Q6)</f>
        <v>654.30035999999996</v>
      </c>
      <c r="M6" s="49"/>
      <c r="N6" s="33">
        <f>W6*N$27/1000000*0.75</f>
        <v>63.640080000000005</v>
      </c>
      <c r="O6" s="41"/>
      <c r="P6" s="41"/>
      <c r="Q6" s="33">
        <f>X6*Q$27/1000000</f>
        <v>590.66027999999994</v>
      </c>
      <c r="R6" s="34">
        <f>V6</f>
        <v>23431</v>
      </c>
      <c r="U6" s="2" t="s">
        <v>78</v>
      </c>
      <c r="V6" s="24">
        <v>23431</v>
      </c>
      <c r="W6" s="24">
        <v>5612</v>
      </c>
      <c r="X6" s="24">
        <v>34909</v>
      </c>
    </row>
    <row r="7" spans="2:24" ht="13.5" customHeight="1" x14ac:dyDescent="0.3">
      <c r="B7" s="7" t="s">
        <v>3</v>
      </c>
      <c r="C7" s="17">
        <v>6676</v>
      </c>
      <c r="D7" s="41"/>
      <c r="E7" s="41"/>
      <c r="F7" s="41"/>
      <c r="G7" s="41"/>
      <c r="H7" s="41"/>
      <c r="I7" s="33"/>
      <c r="J7" s="34"/>
      <c r="L7" s="49">
        <f>SUM(N7:Q7)</f>
        <v>1901.3562000000002</v>
      </c>
      <c r="M7" s="49"/>
      <c r="N7" s="33">
        <f>W5*N$27/1000000*0.75</f>
        <v>1111.6828800000001</v>
      </c>
      <c r="O7" s="41"/>
      <c r="P7" s="41"/>
      <c r="Q7" s="33">
        <f>X5*Q$27/1000000</f>
        <v>789.67331999999999</v>
      </c>
      <c r="R7" s="34">
        <f>V5</f>
        <v>27785</v>
      </c>
      <c r="U7" s="2" t="s">
        <v>77</v>
      </c>
      <c r="V7" s="2">
        <v>0</v>
      </c>
      <c r="W7" s="24">
        <v>3435000</v>
      </c>
      <c r="X7" s="24">
        <v>350000</v>
      </c>
    </row>
    <row r="8" spans="2:24" ht="13.5" customHeight="1" x14ac:dyDescent="0.3">
      <c r="B8" s="7" t="s">
        <v>4</v>
      </c>
      <c r="C8" s="17">
        <v>0</v>
      </c>
      <c r="D8" s="41"/>
      <c r="E8" s="41"/>
      <c r="F8" s="41"/>
      <c r="G8" s="41"/>
      <c r="H8" s="41"/>
      <c r="I8" s="33"/>
      <c r="J8" s="34"/>
      <c r="L8" s="49"/>
      <c r="M8" s="49"/>
      <c r="N8" s="21"/>
      <c r="O8" s="21"/>
      <c r="P8" s="21"/>
      <c r="Q8" s="15"/>
      <c r="R8" s="16"/>
    </row>
    <row r="9" spans="2:24" ht="13.5" customHeight="1" x14ac:dyDescent="0.3">
      <c r="B9" s="7" t="s">
        <v>5</v>
      </c>
      <c r="C9" s="17"/>
      <c r="D9" s="41"/>
      <c r="E9" s="41"/>
      <c r="F9" s="41"/>
      <c r="G9" s="41"/>
      <c r="H9" s="41"/>
      <c r="I9" s="33"/>
      <c r="J9" s="34"/>
      <c r="L9" s="49"/>
      <c r="M9" s="49"/>
      <c r="N9" s="21"/>
      <c r="O9" s="21"/>
      <c r="P9" s="21"/>
      <c r="Q9" s="15"/>
      <c r="R9" s="16"/>
    </row>
    <row r="10" spans="2:24" ht="13.5" customHeight="1" thickBot="1" x14ac:dyDescent="0.35">
      <c r="B10" s="46" t="s">
        <v>6</v>
      </c>
      <c r="C10" s="47">
        <f>SUM(D10:H10)</f>
        <v>89533.503360000002</v>
      </c>
      <c r="D10" s="38">
        <f>D5+D6-D7+D8</f>
        <v>88966.503360000002</v>
      </c>
      <c r="E10" s="38"/>
      <c r="F10" s="38"/>
      <c r="G10" s="38"/>
      <c r="H10" s="38">
        <f>H5</f>
        <v>567</v>
      </c>
      <c r="I10" s="39"/>
      <c r="J10" s="62">
        <v>36000</v>
      </c>
      <c r="L10" s="51">
        <f>SUM(N10:Q10)</f>
        <v>43627.844159999993</v>
      </c>
      <c r="M10" s="51"/>
      <c r="N10" s="66">
        <f>N5+N6-N7</f>
        <v>37904.857199999991</v>
      </c>
      <c r="O10" s="53"/>
      <c r="P10" s="53"/>
      <c r="Q10" s="66">
        <f>Q5+Q6-Q7</f>
        <v>5722.9869600000002</v>
      </c>
      <c r="R10" s="62">
        <f>R5+R6-R7</f>
        <v>-4354</v>
      </c>
    </row>
    <row r="11" spans="2:24" ht="13.5" customHeight="1" thickBot="1" x14ac:dyDescent="0.35">
      <c r="B11" s="8" t="s">
        <v>7</v>
      </c>
      <c r="C11" s="19">
        <v>0</v>
      </c>
      <c r="D11" s="38"/>
      <c r="E11" s="38"/>
      <c r="F11" s="38"/>
      <c r="G11" s="38"/>
      <c r="H11" s="38"/>
      <c r="I11" s="39"/>
      <c r="J11" s="40"/>
      <c r="L11" s="55">
        <f>SUM(N11:Q11)</f>
        <v>0</v>
      </c>
      <c r="M11" s="55"/>
      <c r="N11" s="67"/>
      <c r="O11" s="67"/>
      <c r="P11" s="68"/>
      <c r="Q11" s="39"/>
      <c r="R11" s="40"/>
    </row>
    <row r="12" spans="2:24" ht="13.5" customHeight="1" x14ac:dyDescent="0.3">
      <c r="B12" s="7" t="s">
        <v>8</v>
      </c>
      <c r="C12" s="17">
        <v>40267</v>
      </c>
      <c r="I12" s="33"/>
      <c r="J12" s="34"/>
      <c r="L12" s="49"/>
      <c r="M12" s="49"/>
      <c r="N12" s="41"/>
      <c r="O12" s="41"/>
      <c r="P12" s="34"/>
      <c r="Q12" s="33"/>
      <c r="R12" s="34"/>
    </row>
    <row r="13" spans="2:24" ht="13.5" customHeight="1" x14ac:dyDescent="0.3">
      <c r="B13" s="7" t="s">
        <v>9</v>
      </c>
      <c r="C13" s="17">
        <f>SUM(D13:H13)</f>
        <v>0</v>
      </c>
      <c r="I13" s="33"/>
      <c r="J13" s="34"/>
      <c r="L13" s="18"/>
      <c r="M13" s="18"/>
      <c r="N13" s="21"/>
      <c r="O13" s="21"/>
      <c r="P13" s="16"/>
      <c r="Q13" s="15"/>
      <c r="R13" s="16"/>
      <c r="V13" s="24"/>
      <c r="W13" s="24"/>
      <c r="X13" s="24"/>
    </row>
    <row r="14" spans="2:24" ht="13.5" customHeight="1" x14ac:dyDescent="0.3">
      <c r="B14" s="7" t="s">
        <v>10</v>
      </c>
      <c r="C14" s="17">
        <v>0</v>
      </c>
      <c r="I14" s="33"/>
      <c r="J14" s="34"/>
      <c r="L14" s="18"/>
      <c r="M14" s="18"/>
      <c r="N14" s="21"/>
      <c r="O14" s="21"/>
      <c r="P14" s="16"/>
      <c r="Q14" s="15"/>
      <c r="R14" s="16"/>
      <c r="V14" s="24"/>
      <c r="W14" s="24"/>
      <c r="X14" s="24"/>
    </row>
    <row r="15" spans="2:24" ht="13.5" customHeight="1" x14ac:dyDescent="0.3">
      <c r="B15" s="7" t="s">
        <v>11</v>
      </c>
      <c r="C15" s="17">
        <v>5508</v>
      </c>
      <c r="I15" s="33"/>
      <c r="J15" s="34"/>
      <c r="L15" s="18"/>
      <c r="M15" s="18"/>
      <c r="N15" s="21"/>
      <c r="O15" s="21"/>
      <c r="P15" s="16"/>
      <c r="Q15" s="15"/>
      <c r="R15" s="16"/>
      <c r="V15" s="24"/>
      <c r="W15" s="24"/>
      <c r="X15" s="24"/>
    </row>
    <row r="16" spans="2:24" ht="13.5" customHeight="1" x14ac:dyDescent="0.3">
      <c r="B16" s="7" t="s">
        <v>34</v>
      </c>
      <c r="C16" s="17"/>
      <c r="I16" s="33"/>
      <c r="J16" s="34"/>
      <c r="L16" s="18"/>
      <c r="M16" s="18"/>
      <c r="N16" s="21"/>
      <c r="O16" s="21"/>
      <c r="P16" s="16"/>
      <c r="Q16" s="15"/>
      <c r="R16" s="16"/>
      <c r="W16" s="24"/>
      <c r="X16" s="24"/>
    </row>
    <row r="17" spans="2:18" ht="13.5" customHeight="1" x14ac:dyDescent="0.3">
      <c r="B17" s="7" t="s">
        <v>12</v>
      </c>
      <c r="C17" s="17">
        <v>0</v>
      </c>
      <c r="I17" s="33"/>
      <c r="J17" s="34"/>
      <c r="L17" s="18"/>
      <c r="M17" s="18"/>
      <c r="N17" s="21"/>
      <c r="O17" s="21"/>
      <c r="P17" s="16"/>
      <c r="Q17" s="15"/>
      <c r="R17" s="16"/>
    </row>
    <row r="18" spans="2:18" ht="13.5" customHeight="1" x14ac:dyDescent="0.3">
      <c r="B18" s="7" t="s">
        <v>13</v>
      </c>
      <c r="C18" s="17">
        <v>11101</v>
      </c>
      <c r="I18" s="33"/>
      <c r="J18" s="34"/>
      <c r="L18" s="18"/>
      <c r="M18" s="18"/>
      <c r="N18" s="21"/>
      <c r="O18" s="21"/>
      <c r="P18" s="16"/>
      <c r="Q18" s="15"/>
      <c r="R18" s="16"/>
    </row>
    <row r="19" spans="2:18" ht="13.5" customHeight="1" thickBot="1" x14ac:dyDescent="0.35">
      <c r="B19" s="7" t="s">
        <v>14</v>
      </c>
      <c r="C19" s="17">
        <v>0</v>
      </c>
      <c r="I19" s="33"/>
      <c r="J19" s="34"/>
      <c r="L19" s="18"/>
      <c r="M19" s="18"/>
      <c r="N19" s="21"/>
      <c r="O19" s="21"/>
      <c r="P19" s="16"/>
      <c r="Q19" s="15"/>
      <c r="R19" s="16"/>
    </row>
    <row r="20" spans="2:18" ht="13.5" customHeight="1" x14ac:dyDescent="0.3">
      <c r="B20" s="9" t="s">
        <v>15</v>
      </c>
      <c r="C20" s="20">
        <f>SUM(D20:H20)</f>
        <v>0</v>
      </c>
      <c r="D20" s="35">
        <f>SUM(D21:D26)</f>
        <v>0</v>
      </c>
      <c r="E20" s="35"/>
      <c r="F20" s="35"/>
      <c r="G20" s="35"/>
      <c r="H20" s="35">
        <f>H25</f>
        <v>0</v>
      </c>
      <c r="I20" s="36"/>
      <c r="J20" s="59">
        <v>36000</v>
      </c>
      <c r="L20" s="56"/>
      <c r="M20" s="56"/>
      <c r="N20" s="58"/>
      <c r="O20" s="58"/>
      <c r="P20" s="58"/>
      <c r="Q20" s="57"/>
      <c r="R20" s="59"/>
    </row>
    <row r="21" spans="2:18" ht="13.5" customHeight="1" x14ac:dyDescent="0.3">
      <c r="B21" s="7" t="s">
        <v>16</v>
      </c>
      <c r="C21" s="17">
        <v>46482</v>
      </c>
      <c r="D21" s="41"/>
      <c r="E21" s="41"/>
      <c r="F21" s="41"/>
      <c r="G21" s="41"/>
      <c r="H21" s="41"/>
      <c r="I21" s="33"/>
      <c r="J21" s="34"/>
      <c r="L21" s="49"/>
      <c r="M21" s="49"/>
      <c r="N21" s="41"/>
      <c r="O21" s="41"/>
      <c r="P21" s="41"/>
      <c r="Q21" s="33"/>
      <c r="R21" s="34"/>
    </row>
    <row r="22" spans="2:18" ht="13.5" customHeight="1" x14ac:dyDescent="0.3">
      <c r="B22" s="7" t="s">
        <v>17</v>
      </c>
      <c r="C22" s="17">
        <v>0</v>
      </c>
      <c r="D22" s="41"/>
      <c r="E22" s="41"/>
      <c r="F22" s="41"/>
      <c r="G22" s="41"/>
      <c r="H22" s="41"/>
      <c r="I22" s="33"/>
      <c r="J22" s="34"/>
      <c r="L22" s="18"/>
      <c r="M22" s="18"/>
      <c r="N22" s="21"/>
      <c r="O22" s="21"/>
      <c r="P22" s="21"/>
      <c r="Q22" s="15"/>
      <c r="R22" s="16"/>
    </row>
    <row r="23" spans="2:18" ht="13.5" customHeight="1" x14ac:dyDescent="0.3">
      <c r="B23" s="7" t="s">
        <v>18</v>
      </c>
      <c r="C23" s="17">
        <v>0</v>
      </c>
      <c r="D23" s="41"/>
      <c r="E23" s="41"/>
      <c r="F23" s="41"/>
      <c r="G23" s="41"/>
      <c r="H23" s="41"/>
      <c r="I23" s="33"/>
      <c r="J23" s="34"/>
      <c r="L23" s="18"/>
      <c r="M23" s="18"/>
      <c r="N23" s="21"/>
      <c r="O23" s="21"/>
      <c r="P23" s="21"/>
      <c r="Q23" s="15"/>
      <c r="R23" s="16"/>
    </row>
    <row r="24" spans="2:18" ht="13.5" customHeight="1" x14ac:dyDescent="0.3">
      <c r="B24" s="7" t="s">
        <v>19</v>
      </c>
      <c r="C24" s="17">
        <v>3037</v>
      </c>
      <c r="D24" s="41"/>
      <c r="E24" s="41"/>
      <c r="F24" s="41"/>
      <c r="G24" s="41"/>
      <c r="H24" s="41"/>
      <c r="I24" s="33"/>
      <c r="J24" s="34"/>
      <c r="L24" s="49"/>
      <c r="M24" s="49"/>
      <c r="N24" s="41"/>
      <c r="O24" s="41"/>
      <c r="P24" s="41"/>
      <c r="Q24" s="33"/>
      <c r="R24" s="34"/>
    </row>
    <row r="25" spans="2:18" ht="13.5" customHeight="1" x14ac:dyDescent="0.3">
      <c r="B25" s="7" t="s">
        <v>20</v>
      </c>
      <c r="C25" s="17">
        <v>104435</v>
      </c>
      <c r="D25" s="41"/>
      <c r="E25" s="41"/>
      <c r="F25" s="41"/>
      <c r="G25" s="41"/>
      <c r="H25" s="41"/>
      <c r="I25" s="33"/>
      <c r="J25" s="34">
        <v>36000</v>
      </c>
      <c r="L25" s="49"/>
      <c r="M25" s="49"/>
      <c r="N25" s="41"/>
      <c r="O25" s="41"/>
      <c r="P25" s="41"/>
      <c r="Q25" s="33"/>
      <c r="R25" s="34"/>
    </row>
    <row r="26" spans="2:18" ht="13.5" customHeight="1" thickBot="1" x14ac:dyDescent="0.35">
      <c r="B26" s="8" t="s">
        <v>21</v>
      </c>
      <c r="C26" s="19">
        <v>2823</v>
      </c>
      <c r="D26" s="38"/>
      <c r="E26" s="38"/>
      <c r="F26" s="38"/>
      <c r="G26" s="38"/>
      <c r="H26" s="38"/>
      <c r="I26" s="39"/>
      <c r="J26" s="40"/>
      <c r="L26" s="50"/>
      <c r="M26" s="50"/>
      <c r="N26" s="38"/>
      <c r="O26" s="38"/>
      <c r="P26" s="38"/>
      <c r="Q26" s="39"/>
      <c r="R26" s="40"/>
    </row>
    <row r="27" spans="2:18" ht="13.5" customHeight="1" thickBot="1" x14ac:dyDescent="0.35">
      <c r="B27" s="10" t="s">
        <v>22</v>
      </c>
      <c r="C27" s="22"/>
      <c r="D27" s="42"/>
      <c r="E27" s="42"/>
      <c r="F27" s="42"/>
      <c r="G27" s="42"/>
      <c r="H27" s="42"/>
      <c r="I27" s="43"/>
      <c r="J27" s="44">
        <v>30800</v>
      </c>
      <c r="N27" s="43">
        <v>15120</v>
      </c>
      <c r="O27" s="42"/>
      <c r="P27" s="42"/>
      <c r="Q27" s="43">
        <v>16920</v>
      </c>
      <c r="R27" s="44"/>
    </row>
    <row r="28" spans="2:18" ht="15" customHeight="1" x14ac:dyDescent="0.3"/>
    <row r="29" spans="2:18" x14ac:dyDescent="0.3">
      <c r="E29" s="2"/>
      <c r="F29" s="2"/>
      <c r="G29" s="2"/>
      <c r="H29" s="2"/>
      <c r="I29" s="2"/>
    </row>
    <row r="30" spans="2:18" x14ac:dyDescent="0.3">
      <c r="B30" s="11"/>
      <c r="C30" s="13"/>
    </row>
    <row r="31" spans="2:18" x14ac:dyDescent="0.3">
      <c r="G31" s="2"/>
      <c r="H31" s="2"/>
      <c r="I31" s="2"/>
    </row>
    <row r="33" spans="2:3" x14ac:dyDescent="0.3">
      <c r="B33" s="12"/>
    </row>
    <row r="34" spans="2:3" x14ac:dyDescent="0.3">
      <c r="B34" s="12"/>
    </row>
    <row r="35" spans="2:3" x14ac:dyDescent="0.3">
      <c r="B35" s="12"/>
    </row>
    <row r="36" spans="2:3" x14ac:dyDescent="0.3">
      <c r="B36" s="13"/>
      <c r="C36" s="13"/>
    </row>
    <row r="37" spans="2:3" x14ac:dyDescent="0.3">
      <c r="B37" s="12"/>
    </row>
    <row r="38" spans="2:3" x14ac:dyDescent="0.3">
      <c r="B38" s="6"/>
      <c r="C38" s="6"/>
    </row>
    <row r="39" spans="2:3" x14ac:dyDescent="0.3">
      <c r="B39" s="6"/>
      <c r="C39" s="6"/>
    </row>
    <row r="40" spans="2:3" x14ac:dyDescent="0.3">
      <c r="B40" s="6"/>
      <c r="C40" s="6"/>
    </row>
    <row r="41" spans="2:3" x14ac:dyDescent="0.3">
      <c r="B41" s="6"/>
      <c r="C41" s="6"/>
    </row>
    <row r="42" spans="2:3" x14ac:dyDescent="0.3">
      <c r="B42" s="6"/>
      <c r="C42" s="6"/>
    </row>
    <row r="43" spans="2:3" x14ac:dyDescent="0.3">
      <c r="B43" s="12"/>
    </row>
    <row r="44" spans="2:3" x14ac:dyDescent="0.3">
      <c r="B44" s="12"/>
    </row>
    <row r="45" spans="2:3" x14ac:dyDescent="0.3">
      <c r="B45" s="12"/>
    </row>
    <row r="46" spans="2:3" x14ac:dyDescent="0.3">
      <c r="B46" s="13"/>
      <c r="C46" s="13"/>
    </row>
    <row r="47" spans="2:3" x14ac:dyDescent="0.3">
      <c r="B47" s="14"/>
      <c r="C47" s="14"/>
    </row>
    <row r="48" spans="2:3" x14ac:dyDescent="0.3">
      <c r="B48" s="14"/>
      <c r="C48" s="14"/>
    </row>
    <row r="49" spans="2:3" x14ac:dyDescent="0.3">
      <c r="B49" s="14"/>
      <c r="C49" s="14"/>
    </row>
    <row r="50" spans="2:3" x14ac:dyDescent="0.3">
      <c r="B50" s="14"/>
      <c r="C50" s="14"/>
    </row>
    <row r="51" spans="2:3" x14ac:dyDescent="0.3">
      <c r="B51" s="14"/>
      <c r="C51" s="14"/>
    </row>
    <row r="52" spans="2:3" x14ac:dyDescent="0.3">
      <c r="B52" s="14"/>
      <c r="C52" s="14"/>
    </row>
    <row r="53" spans="2:3" x14ac:dyDescent="0.3">
      <c r="B53" s="14"/>
      <c r="C53" s="14"/>
    </row>
    <row r="54" spans="2:3" x14ac:dyDescent="0.3">
      <c r="B54" s="12"/>
    </row>
  </sheetData>
  <mergeCells count="2">
    <mergeCell ref="C2:J2"/>
    <mergeCell ref="L2:R2"/>
  </mergeCells>
  <printOptions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tabSelected="1" zoomScale="70" zoomScaleNormal="70" workbookViewId="0">
      <selection activeCell="C11" sqref="C11"/>
    </sheetView>
  </sheetViews>
  <sheetFormatPr defaultRowHeight="13" x14ac:dyDescent="0.3"/>
  <cols>
    <col min="1" max="1" width="3.26953125" style="2" customWidth="1"/>
    <col min="2" max="2" width="22.26953125" style="1" customWidth="1"/>
    <col min="3" max="3" width="7.81640625" style="12" customWidth="1"/>
    <col min="4" max="5" width="8.81640625" style="24" customWidth="1"/>
    <col min="6" max="6" width="6.81640625" style="24" customWidth="1"/>
    <col min="7" max="9" width="7.81640625" style="24" customWidth="1"/>
    <col min="10" max="10" width="2.6328125" style="2" customWidth="1"/>
    <col min="11" max="16" width="8.7265625" style="2"/>
    <col min="17" max="17" width="3.26953125" style="2" customWidth="1"/>
    <col min="18" max="16384" width="8.7265625" style="2"/>
  </cols>
  <sheetData>
    <row r="1" spans="1:25" ht="13.5" customHeight="1" thickBot="1" x14ac:dyDescent="0.35">
      <c r="A1" s="121"/>
      <c r="B1" s="137" t="s">
        <v>42</v>
      </c>
      <c r="C1" s="123"/>
      <c r="D1" s="124"/>
      <c r="E1" s="124"/>
      <c r="F1" s="124"/>
      <c r="G1" s="124"/>
      <c r="H1" s="124"/>
      <c r="I1" s="124"/>
      <c r="J1" s="121"/>
      <c r="K1" s="121"/>
      <c r="L1" s="121"/>
      <c r="M1" s="121"/>
      <c r="N1" s="121"/>
      <c r="O1" s="121"/>
      <c r="P1" s="121"/>
      <c r="Q1" s="121"/>
    </row>
    <row r="2" spans="1:25" ht="13.5" customHeight="1" thickBot="1" x14ac:dyDescent="0.35">
      <c r="A2" s="121"/>
      <c r="B2" s="122"/>
      <c r="C2" s="202" t="s">
        <v>43</v>
      </c>
      <c r="D2" s="203"/>
      <c r="E2" s="203"/>
      <c r="F2" s="203"/>
      <c r="G2" s="203"/>
      <c r="H2" s="203"/>
      <c r="I2" s="204"/>
      <c r="J2" s="128"/>
      <c r="K2" s="205" t="s">
        <v>40</v>
      </c>
      <c r="L2" s="206"/>
      <c r="M2" s="206"/>
      <c r="N2" s="206"/>
      <c r="O2" s="206"/>
      <c r="P2" s="207"/>
      <c r="Q2" s="121"/>
    </row>
    <row r="3" spans="1:25" ht="39.5" customHeight="1" x14ac:dyDescent="0.3">
      <c r="A3" s="121"/>
      <c r="B3" s="138" t="s">
        <v>0</v>
      </c>
      <c r="C3" s="139" t="s">
        <v>30</v>
      </c>
      <c r="D3" s="140" t="s">
        <v>23</v>
      </c>
      <c r="E3" s="140" t="s">
        <v>24</v>
      </c>
      <c r="F3" s="140" t="s">
        <v>25</v>
      </c>
      <c r="G3" s="140" t="s">
        <v>31</v>
      </c>
      <c r="H3" s="141" t="s">
        <v>33</v>
      </c>
      <c r="I3" s="142" t="s">
        <v>27</v>
      </c>
      <c r="J3" s="121"/>
      <c r="K3" s="139" t="s">
        <v>41</v>
      </c>
      <c r="L3" s="140" t="s">
        <v>23</v>
      </c>
      <c r="M3" s="140" t="s">
        <v>24</v>
      </c>
      <c r="N3" s="142" t="s">
        <v>25</v>
      </c>
      <c r="O3" s="141" t="s">
        <v>33</v>
      </c>
      <c r="P3" s="142" t="s">
        <v>27</v>
      </c>
      <c r="Q3" s="121"/>
      <c r="T3" s="24"/>
      <c r="U3" s="24"/>
      <c r="V3" s="24"/>
      <c r="W3" s="24"/>
      <c r="X3" s="24"/>
      <c r="Y3" s="24"/>
    </row>
    <row r="4" spans="1:25" ht="13.5" customHeight="1" thickBot="1" x14ac:dyDescent="0.35">
      <c r="A4" s="121"/>
      <c r="B4" s="143">
        <v>2013</v>
      </c>
      <c r="C4" s="144" t="s">
        <v>29</v>
      </c>
      <c r="D4" s="145" t="s">
        <v>29</v>
      </c>
      <c r="E4" s="145" t="s">
        <v>29</v>
      </c>
      <c r="F4" s="145" t="s">
        <v>29</v>
      </c>
      <c r="G4" s="145" t="s">
        <v>29</v>
      </c>
      <c r="H4" s="146" t="s">
        <v>29</v>
      </c>
      <c r="I4" s="147" t="s">
        <v>28</v>
      </c>
      <c r="J4" s="121"/>
      <c r="K4" s="144" t="s">
        <v>29</v>
      </c>
      <c r="L4" s="145" t="s">
        <v>29</v>
      </c>
      <c r="M4" s="145" t="s">
        <v>29</v>
      </c>
      <c r="N4" s="147" t="s">
        <v>29</v>
      </c>
      <c r="O4" s="146" t="s">
        <v>29</v>
      </c>
      <c r="P4" s="147" t="s">
        <v>28</v>
      </c>
      <c r="Q4" s="121"/>
      <c r="T4" s="24"/>
      <c r="U4" s="24"/>
      <c r="V4" s="24"/>
      <c r="W4" s="24"/>
      <c r="X4" s="24"/>
      <c r="Y4" s="24"/>
    </row>
    <row r="5" spans="1:25" ht="13.5" customHeight="1" x14ac:dyDescent="0.3">
      <c r="A5" s="121"/>
      <c r="B5" s="150" t="s">
        <v>1</v>
      </c>
      <c r="C5" s="151">
        <f>SUM(D5:H5)</f>
        <v>232720.87384742507</v>
      </c>
      <c r="D5" s="152">
        <v>88966.503360000002</v>
      </c>
      <c r="E5" s="152">
        <f>104214.39385221-H5</f>
        <v>87587.518569210006</v>
      </c>
      <c r="F5" s="152">
        <v>29094.853880537645</v>
      </c>
      <c r="G5" s="152">
        <v>10445.122754677439</v>
      </c>
      <c r="H5" s="153">
        <v>16626.875282999998</v>
      </c>
      <c r="I5" s="154">
        <v>1268.7183000000002</v>
      </c>
      <c r="J5" s="121"/>
      <c r="K5" s="155">
        <f>SUM(L5:O5)</f>
        <v>182578.45531721288</v>
      </c>
      <c r="L5" s="156">
        <v>53740.009284437132</v>
      </c>
      <c r="M5" s="156">
        <v>93778.182946486064</v>
      </c>
      <c r="N5" s="190">
        <v>18417.663086289693</v>
      </c>
      <c r="O5" s="160">
        <v>16642.600000000002</v>
      </c>
      <c r="P5" s="161">
        <v>1380</v>
      </c>
      <c r="Q5" s="124"/>
      <c r="R5" s="24"/>
      <c r="T5" s="24"/>
      <c r="U5" s="24"/>
      <c r="V5" s="24"/>
      <c r="W5" s="24"/>
      <c r="X5" s="24"/>
      <c r="Y5" s="24"/>
    </row>
    <row r="6" spans="1:25" ht="13.5" customHeight="1" x14ac:dyDescent="0.3">
      <c r="A6" s="121"/>
      <c r="B6" s="157" t="s">
        <v>2</v>
      </c>
      <c r="C6" s="158">
        <f>SUM(D6:H6)</f>
        <v>20241.431367855996</v>
      </c>
      <c r="D6" s="159">
        <v>11293.351742727998</v>
      </c>
      <c r="E6" s="159"/>
      <c r="F6" s="159"/>
      <c r="G6" s="159"/>
      <c r="H6" s="160">
        <v>8948.0796251279971</v>
      </c>
      <c r="I6" s="161">
        <v>12687.183000000001</v>
      </c>
      <c r="J6" s="121"/>
      <c r="K6" s="155">
        <f>SUM(L6:O6)</f>
        <v>13751.721133140421</v>
      </c>
      <c r="L6" s="159">
        <v>7083.2631331404218</v>
      </c>
      <c r="M6" s="159"/>
      <c r="N6" s="161"/>
      <c r="O6" s="160">
        <v>6668.4579999999996</v>
      </c>
      <c r="P6" s="161">
        <v>12700</v>
      </c>
      <c r="Q6" s="124"/>
      <c r="R6" s="24"/>
      <c r="T6" s="24"/>
      <c r="U6" s="24"/>
      <c r="V6" s="24"/>
      <c r="W6" s="24"/>
      <c r="X6" s="24"/>
      <c r="Y6" s="24"/>
    </row>
    <row r="7" spans="1:25" ht="13.5" customHeight="1" x14ac:dyDescent="0.3">
      <c r="A7" s="121"/>
      <c r="B7" s="157" t="s">
        <v>3</v>
      </c>
      <c r="C7" s="158">
        <f t="shared" ref="C7:C8" si="0">SUM(D7:H7)</f>
        <v>9392.5939041969978</v>
      </c>
      <c r="D7" s="159">
        <v>692.96545312499984</v>
      </c>
      <c r="E7" s="159"/>
      <c r="F7" s="159"/>
      <c r="G7" s="159"/>
      <c r="H7" s="160">
        <v>8699.6284510719979</v>
      </c>
      <c r="I7" s="161">
        <v>1765.6179999999999</v>
      </c>
      <c r="J7" s="121"/>
      <c r="K7" s="155">
        <f>SUM(L7:O7)</f>
        <v>8795.1867003309653</v>
      </c>
      <c r="L7" s="159">
        <v>442.74670033096498</v>
      </c>
      <c r="M7" s="159"/>
      <c r="N7" s="161"/>
      <c r="O7" s="160">
        <v>8352.44</v>
      </c>
      <c r="P7" s="161">
        <v>1790</v>
      </c>
      <c r="Q7" s="124"/>
      <c r="R7" s="24"/>
      <c r="T7" s="24"/>
      <c r="U7" s="24"/>
      <c r="V7" s="24"/>
      <c r="W7" s="24"/>
      <c r="X7" s="24"/>
      <c r="Y7" s="24"/>
    </row>
    <row r="8" spans="1:25" ht="13.5" customHeight="1" x14ac:dyDescent="0.3">
      <c r="A8" s="121"/>
      <c r="B8" s="157" t="s">
        <v>4</v>
      </c>
      <c r="C8" s="158">
        <f t="shared" si="0"/>
        <v>-1678.9126349765538</v>
      </c>
      <c r="D8" s="159"/>
      <c r="E8" s="159"/>
      <c r="F8" s="159"/>
      <c r="G8" s="159"/>
      <c r="H8" s="160">
        <v>-1678.9126349765538</v>
      </c>
      <c r="I8" s="161"/>
      <c r="J8" s="121"/>
      <c r="K8" s="155"/>
      <c r="L8" s="162"/>
      <c r="M8" s="162"/>
      <c r="N8" s="164"/>
      <c r="O8" s="163"/>
      <c r="P8" s="164"/>
      <c r="Q8" s="124"/>
      <c r="R8" s="24"/>
      <c r="T8" s="24"/>
      <c r="U8" s="24"/>
      <c r="V8" s="24"/>
      <c r="W8" s="24"/>
      <c r="X8" s="24"/>
      <c r="Y8" s="24"/>
    </row>
    <row r="9" spans="1:25" ht="13.5" customHeight="1" x14ac:dyDescent="0.3">
      <c r="A9" s="121"/>
      <c r="B9" s="157" t="s">
        <v>5</v>
      </c>
      <c r="C9" s="158"/>
      <c r="D9" s="159"/>
      <c r="E9" s="159"/>
      <c r="F9" s="159"/>
      <c r="G9" s="159"/>
      <c r="H9" s="160"/>
      <c r="I9" s="161"/>
      <c r="J9" s="121"/>
      <c r="K9" s="155"/>
      <c r="L9" s="162"/>
      <c r="M9" s="162"/>
      <c r="N9" s="164"/>
      <c r="O9" s="163"/>
      <c r="P9" s="164"/>
      <c r="Q9" s="124"/>
      <c r="R9" s="24"/>
      <c r="T9" s="24"/>
      <c r="U9" s="24"/>
      <c r="V9" s="24"/>
      <c r="W9" s="24"/>
      <c r="X9" s="24"/>
      <c r="Y9" s="24"/>
    </row>
    <row r="10" spans="1:25" ht="13.5" customHeight="1" thickBot="1" x14ac:dyDescent="0.35">
      <c r="A10" s="121"/>
      <c r="B10" s="165" t="s">
        <v>6</v>
      </c>
      <c r="C10" s="166">
        <f>SUM(D10:H10)</f>
        <v>243321.26013702809</v>
      </c>
      <c r="D10" s="191">
        <f>D5+D6-D7+D8</f>
        <v>99566.889649603007</v>
      </c>
      <c r="E10" s="191">
        <f>E5</f>
        <v>87587.518569210006</v>
      </c>
      <c r="F10" s="191">
        <v>29094.853880537645</v>
      </c>
      <c r="G10" s="191">
        <v>10445.122754677439</v>
      </c>
      <c r="H10" s="171">
        <f>H5</f>
        <v>16626.875282999998</v>
      </c>
      <c r="I10" s="169">
        <v>12190.283300000001</v>
      </c>
      <c r="J10" s="121"/>
      <c r="K10" s="170">
        <f>SUM(L10:O10)</f>
        <v>187534.98975002233</v>
      </c>
      <c r="L10" s="172">
        <v>60380.525717246586</v>
      </c>
      <c r="M10" s="172">
        <v>93778.182946486064</v>
      </c>
      <c r="N10" s="192">
        <v>18417.663086289693</v>
      </c>
      <c r="O10" s="193">
        <v>14958.618</v>
      </c>
      <c r="P10" s="192">
        <v>12290</v>
      </c>
      <c r="Q10" s="124"/>
      <c r="R10" s="24"/>
      <c r="T10" s="24"/>
      <c r="U10" s="24"/>
      <c r="V10" s="24"/>
      <c r="W10" s="24"/>
      <c r="X10" s="24"/>
      <c r="Y10" s="24"/>
    </row>
    <row r="11" spans="1:25" ht="13.5" customHeight="1" thickBot="1" x14ac:dyDescent="0.35">
      <c r="A11" s="121"/>
      <c r="B11" s="173" t="s">
        <v>7</v>
      </c>
      <c r="C11" s="174"/>
      <c r="D11" s="167"/>
      <c r="E11" s="167"/>
      <c r="F11" s="167"/>
      <c r="G11" s="167"/>
      <c r="H11" s="168"/>
      <c r="I11" s="175"/>
      <c r="J11" s="121"/>
      <c r="K11" s="176">
        <f>SUM(L11:O11)</f>
        <v>4286.2993156404809</v>
      </c>
      <c r="L11" s="177"/>
      <c r="M11" s="177"/>
      <c r="N11" s="178"/>
      <c r="O11" s="189">
        <v>4286.2993156404809</v>
      </c>
      <c r="P11" s="178">
        <v>-306.62607666666918</v>
      </c>
      <c r="Q11" s="124"/>
      <c r="R11" s="24"/>
      <c r="T11" s="24"/>
      <c r="U11" s="24"/>
      <c r="V11" s="24"/>
      <c r="W11" s="24"/>
      <c r="X11" s="24"/>
      <c r="Y11" s="24"/>
    </row>
    <row r="12" spans="1:25" ht="13.5" customHeight="1" x14ac:dyDescent="0.3">
      <c r="A12" s="121"/>
      <c r="B12" s="157" t="s">
        <v>8</v>
      </c>
      <c r="C12" s="151">
        <f>SUM(D12:H12)</f>
        <v>14589.455539850778</v>
      </c>
      <c r="D12" s="124"/>
      <c r="E12" s="124">
        <v>11446.731383766031</v>
      </c>
      <c r="F12" s="124">
        <v>1346.6770904825366</v>
      </c>
      <c r="G12" s="124">
        <v>1796.0470656022096</v>
      </c>
      <c r="H12" s="160"/>
      <c r="I12" s="161"/>
      <c r="J12" s="121"/>
      <c r="K12" s="155">
        <f>SUM(L12:O12)</f>
        <v>47455.654892026359</v>
      </c>
      <c r="L12" s="159"/>
      <c r="M12" s="159">
        <v>47395.012137137172</v>
      </c>
      <c r="N12" s="161"/>
      <c r="O12" s="160">
        <v>60.642754889191039</v>
      </c>
      <c r="P12" s="161"/>
      <c r="Q12" s="124"/>
      <c r="R12" s="24"/>
      <c r="T12" s="24"/>
      <c r="U12" s="24"/>
      <c r="V12" s="24"/>
      <c r="W12" s="24"/>
      <c r="X12" s="24"/>
      <c r="Y12" s="24"/>
    </row>
    <row r="13" spans="1:25" ht="13.5" customHeight="1" x14ac:dyDescent="0.3">
      <c r="A13" s="121"/>
      <c r="B13" s="157" t="s">
        <v>9</v>
      </c>
      <c r="C13" s="158">
        <f>SUM(D13:H13)</f>
        <v>33581.742254382276</v>
      </c>
      <c r="D13" s="124"/>
      <c r="E13" s="124">
        <v>23859.832358332027</v>
      </c>
      <c r="F13" s="124">
        <v>6835.9308221582651</v>
      </c>
      <c r="G13" s="124">
        <v>2885.9790738919874</v>
      </c>
      <c r="H13" s="160"/>
      <c r="I13" s="161"/>
      <c r="J13" s="121"/>
      <c r="K13" s="179"/>
      <c r="L13" s="162"/>
      <c r="M13" s="162"/>
      <c r="N13" s="164"/>
      <c r="O13" s="163"/>
      <c r="P13" s="164"/>
      <c r="Q13" s="124"/>
      <c r="R13" s="24"/>
      <c r="T13" s="24"/>
      <c r="U13" s="24"/>
      <c r="V13" s="24"/>
      <c r="W13" s="24"/>
      <c r="X13" s="24"/>
      <c r="Y13" s="24"/>
    </row>
    <row r="14" spans="1:25" ht="13.5" customHeight="1" x14ac:dyDescent="0.3">
      <c r="A14" s="121"/>
      <c r="B14" s="157" t="s">
        <v>10</v>
      </c>
      <c r="C14" s="158">
        <f t="shared" ref="C14:C15" si="1">SUM(D14:H14)</f>
        <v>20647.8324396526</v>
      </c>
      <c r="D14" s="124">
        <v>53.272887313263425</v>
      </c>
      <c r="E14" s="124">
        <v>20303.372210797883</v>
      </c>
      <c r="F14" s="124"/>
      <c r="G14" s="124">
        <v>224.58547200997316</v>
      </c>
      <c r="H14" s="160">
        <v>66.601869531481483</v>
      </c>
      <c r="I14" s="161"/>
      <c r="J14" s="121"/>
      <c r="K14" s="179"/>
      <c r="L14" s="162"/>
      <c r="M14" s="162"/>
      <c r="N14" s="164"/>
      <c r="O14" s="163"/>
      <c r="P14" s="164"/>
      <c r="Q14" s="124"/>
      <c r="R14" s="24"/>
      <c r="T14" s="24"/>
      <c r="U14" s="24"/>
      <c r="V14" s="24"/>
      <c r="W14" s="24"/>
      <c r="X14" s="24"/>
      <c r="Y14" s="24"/>
    </row>
    <row r="15" spans="1:25" ht="13.5" customHeight="1" x14ac:dyDescent="0.3">
      <c r="A15" s="121"/>
      <c r="B15" s="157" t="s">
        <v>11</v>
      </c>
      <c r="C15" s="158">
        <f t="shared" si="1"/>
        <v>99.068683375314862</v>
      </c>
      <c r="D15" s="124">
        <v>99.068683375314862</v>
      </c>
      <c r="E15" s="124"/>
      <c r="F15" s="124"/>
      <c r="G15" s="124"/>
      <c r="H15" s="160"/>
      <c r="I15" s="161"/>
      <c r="J15" s="121"/>
      <c r="K15" s="179"/>
      <c r="L15" s="162"/>
      <c r="M15" s="162"/>
      <c r="N15" s="164"/>
      <c r="O15" s="163"/>
      <c r="P15" s="164"/>
      <c r="Q15" s="124"/>
      <c r="R15" s="24"/>
      <c r="T15" s="24"/>
      <c r="U15" s="24"/>
      <c r="V15" s="24"/>
      <c r="W15" s="24"/>
      <c r="X15" s="24"/>
      <c r="Y15" s="24"/>
    </row>
    <row r="16" spans="1:25" ht="13.5" customHeight="1" x14ac:dyDescent="0.3">
      <c r="A16" s="121"/>
      <c r="B16" s="157" t="s">
        <v>34</v>
      </c>
      <c r="C16" s="158"/>
      <c r="D16" s="124"/>
      <c r="E16" s="124"/>
      <c r="F16" s="124"/>
      <c r="G16" s="124"/>
      <c r="H16" s="160"/>
      <c r="I16" s="161"/>
      <c r="J16" s="121"/>
      <c r="K16" s="179"/>
      <c r="L16" s="162"/>
      <c r="M16" s="162"/>
      <c r="N16" s="164"/>
      <c r="O16" s="163"/>
      <c r="P16" s="164"/>
      <c r="Q16" s="124"/>
      <c r="R16" s="24"/>
      <c r="T16" s="24"/>
      <c r="U16" s="24"/>
      <c r="V16" s="24"/>
      <c r="W16" s="24"/>
      <c r="X16" s="24"/>
      <c r="Y16" s="24"/>
    </row>
    <row r="17" spans="1:25" ht="13.5" customHeight="1" x14ac:dyDescent="0.3">
      <c r="A17" s="121"/>
      <c r="B17" s="157" t="s">
        <v>12</v>
      </c>
      <c r="C17" s="158"/>
      <c r="D17" s="124"/>
      <c r="E17" s="124"/>
      <c r="F17" s="124"/>
      <c r="G17" s="124"/>
      <c r="H17" s="160"/>
      <c r="I17" s="161"/>
      <c r="J17" s="121"/>
      <c r="K17" s="179"/>
      <c r="L17" s="162"/>
      <c r="M17" s="162"/>
      <c r="N17" s="164"/>
      <c r="O17" s="163"/>
      <c r="P17" s="164"/>
      <c r="Q17" s="124"/>
      <c r="R17" s="24"/>
      <c r="T17" s="24"/>
      <c r="U17" s="24"/>
      <c r="V17" s="24"/>
      <c r="W17" s="24"/>
      <c r="X17" s="24"/>
      <c r="Y17" s="24"/>
    </row>
    <row r="18" spans="1:25" ht="13.5" customHeight="1" x14ac:dyDescent="0.3">
      <c r="A18" s="121"/>
      <c r="B18" s="157" t="s">
        <v>13</v>
      </c>
      <c r="C18" s="158"/>
      <c r="D18" s="124"/>
      <c r="E18" s="124"/>
      <c r="F18" s="124"/>
      <c r="G18" s="124"/>
      <c r="H18" s="160"/>
      <c r="I18" s="161"/>
      <c r="J18" s="121"/>
      <c r="K18" s="179"/>
      <c r="L18" s="162"/>
      <c r="M18" s="162"/>
      <c r="N18" s="164"/>
      <c r="O18" s="163"/>
      <c r="P18" s="164"/>
      <c r="Q18" s="124"/>
      <c r="R18" s="24"/>
      <c r="T18" s="24"/>
      <c r="U18" s="24"/>
      <c r="V18" s="24"/>
      <c r="W18" s="24"/>
      <c r="X18" s="24"/>
      <c r="Y18" s="24"/>
    </row>
    <row r="19" spans="1:25" ht="13.5" customHeight="1" thickBot="1" x14ac:dyDescent="0.35">
      <c r="A19" s="121"/>
      <c r="B19" s="157" t="s">
        <v>14</v>
      </c>
      <c r="C19" s="158"/>
      <c r="D19" s="124"/>
      <c r="E19" s="124"/>
      <c r="F19" s="124"/>
      <c r="G19" s="124"/>
      <c r="H19" s="160"/>
      <c r="I19" s="161"/>
      <c r="J19" s="121"/>
      <c r="K19" s="179"/>
      <c r="L19" s="162"/>
      <c r="M19" s="162"/>
      <c r="N19" s="164"/>
      <c r="O19" s="163"/>
      <c r="P19" s="164"/>
      <c r="Q19" s="124"/>
      <c r="R19" s="24"/>
      <c r="T19" s="24"/>
      <c r="U19" s="24"/>
      <c r="V19" s="24"/>
      <c r="W19" s="24"/>
      <c r="X19" s="24"/>
      <c r="Y19" s="24"/>
    </row>
    <row r="20" spans="1:25" ht="13.5" customHeight="1" x14ac:dyDescent="0.3">
      <c r="A20" s="121"/>
      <c r="B20" s="180" t="s">
        <v>15</v>
      </c>
      <c r="C20" s="181">
        <f>SUM(D20:H20)</f>
        <v>129066.39901646845</v>
      </c>
      <c r="D20" s="184">
        <f>SUM(D21:D26)</f>
        <v>63075.55762023438</v>
      </c>
      <c r="E20" s="184">
        <v>31977.58261631363</v>
      </c>
      <c r="F20" s="184">
        <v>20912.24596789683</v>
      </c>
      <c r="G20" s="184">
        <v>5538.5111431732603</v>
      </c>
      <c r="H20" s="185">
        <f>H25</f>
        <v>7562.5016688503501</v>
      </c>
      <c r="I20" s="182">
        <v>12190.283300000001</v>
      </c>
      <c r="J20" s="121"/>
      <c r="K20" s="183">
        <f>SUM(L20:O20)</f>
        <v>135793.0355423555</v>
      </c>
      <c r="L20" s="184">
        <f t="shared" ref="L20:P20" si="2">SUM(L21:L26)</f>
        <v>60380.525717246586</v>
      </c>
      <c r="M20" s="184">
        <f t="shared" si="2"/>
        <v>46383.170809348885</v>
      </c>
      <c r="N20" s="184">
        <f t="shared" si="2"/>
        <v>18417.663086289693</v>
      </c>
      <c r="O20" s="185">
        <f t="shared" si="2"/>
        <v>10611.675929470328</v>
      </c>
      <c r="P20" s="182">
        <f t="shared" si="2"/>
        <v>12596.626076666669</v>
      </c>
      <c r="Q20" s="124"/>
      <c r="R20" s="24"/>
    </row>
    <row r="21" spans="1:25" ht="13.5" customHeight="1" x14ac:dyDescent="0.3">
      <c r="A21" s="121"/>
      <c r="B21" s="157" t="s">
        <v>16</v>
      </c>
      <c r="C21" s="158">
        <f t="shared" ref="C21:C26" si="3">SUM(D21:H21)</f>
        <v>52731.488404484626</v>
      </c>
      <c r="D21" s="159">
        <v>552.573610481522</v>
      </c>
      <c r="E21" s="159">
        <v>25144.365161479989</v>
      </c>
      <c r="F21" s="159">
        <v>20912.24596789683</v>
      </c>
      <c r="G21" s="159">
        <v>5537.9019813557516</v>
      </c>
      <c r="H21" s="160">
        <v>584.40168327053254</v>
      </c>
      <c r="I21" s="161">
        <v>352.78</v>
      </c>
      <c r="J21" s="121"/>
      <c r="K21" s="155">
        <f>SUM(L21:O21)</f>
        <v>54306.36551615897</v>
      </c>
      <c r="L21" s="159"/>
      <c r="M21" s="159">
        <v>35356.589318259794</v>
      </c>
      <c r="N21" s="159">
        <v>18417.663086289693</v>
      </c>
      <c r="O21" s="160">
        <v>532.11311160948492</v>
      </c>
      <c r="P21" s="161"/>
      <c r="Q21" s="121"/>
    </row>
    <row r="22" spans="1:25" ht="13.5" customHeight="1" x14ac:dyDescent="0.3">
      <c r="A22" s="121"/>
      <c r="B22" s="157" t="s">
        <v>17</v>
      </c>
      <c r="C22" s="158"/>
      <c r="D22" s="159"/>
      <c r="E22" s="159"/>
      <c r="F22" s="159"/>
      <c r="G22" s="159"/>
      <c r="H22" s="160"/>
      <c r="I22" s="161"/>
      <c r="J22" s="121"/>
      <c r="K22" s="179"/>
      <c r="L22" s="162"/>
      <c r="M22" s="162"/>
      <c r="N22" s="162"/>
      <c r="O22" s="163"/>
      <c r="P22" s="164"/>
      <c r="Q22" s="121"/>
    </row>
    <row r="23" spans="1:25" ht="13.5" customHeight="1" x14ac:dyDescent="0.3">
      <c r="A23" s="121"/>
      <c r="B23" s="157" t="s">
        <v>18</v>
      </c>
      <c r="C23" s="158"/>
      <c r="D23" s="159"/>
      <c r="E23" s="159"/>
      <c r="F23" s="159"/>
      <c r="G23" s="159"/>
      <c r="H23" s="160"/>
      <c r="I23" s="161"/>
      <c r="J23" s="121"/>
      <c r="K23" s="179"/>
      <c r="L23" s="162"/>
      <c r="M23" s="162"/>
      <c r="N23" s="162"/>
      <c r="O23" s="163"/>
      <c r="P23" s="164"/>
      <c r="Q23" s="121"/>
    </row>
    <row r="24" spans="1:25" ht="13.5" customHeight="1" x14ac:dyDescent="0.3">
      <c r="A24" s="121"/>
      <c r="B24" s="157" t="s">
        <v>19</v>
      </c>
      <c r="C24" s="158">
        <f t="shared" si="3"/>
        <v>3149.3323199504052</v>
      </c>
      <c r="D24" s="159">
        <v>809.60973888219576</v>
      </c>
      <c r="E24" s="159">
        <v>1386.6269576992293</v>
      </c>
      <c r="F24" s="159"/>
      <c r="G24" s="159">
        <v>0.60916181750861165</v>
      </c>
      <c r="H24" s="160">
        <v>952.48646155147162</v>
      </c>
      <c r="I24" s="161">
        <v>4735.0013200000012</v>
      </c>
      <c r="J24" s="121"/>
      <c r="K24" s="155">
        <f t="shared" ref="K24:K26" si="4">SUM(L24:O24)</f>
        <v>2793.3888920448621</v>
      </c>
      <c r="L24" s="159">
        <v>797.67750311540601</v>
      </c>
      <c r="M24" s="159">
        <v>1128.4474002536424</v>
      </c>
      <c r="N24" s="159"/>
      <c r="O24" s="160">
        <v>867.26398867581372</v>
      </c>
      <c r="P24" s="161">
        <v>5038.6504306666675</v>
      </c>
      <c r="Q24" s="124"/>
      <c r="R24" s="24"/>
    </row>
    <row r="25" spans="1:25" ht="13.5" customHeight="1" x14ac:dyDescent="0.3">
      <c r="A25" s="121"/>
      <c r="B25" s="157" t="s">
        <v>20</v>
      </c>
      <c r="C25" s="158">
        <f t="shared" si="3"/>
        <v>71141.126901370837</v>
      </c>
      <c r="D25" s="159">
        <v>58132.034735386071</v>
      </c>
      <c r="E25" s="159">
        <v>5446.5904971344116</v>
      </c>
      <c r="F25" s="159"/>
      <c r="G25" s="159"/>
      <c r="H25" s="160">
        <v>7562.5016688503501</v>
      </c>
      <c r="I25" s="161">
        <v>7102.50198</v>
      </c>
      <c r="J25" s="121"/>
      <c r="K25" s="155">
        <f t="shared" si="4"/>
        <v>69477.908586920064</v>
      </c>
      <c r="L25" s="159">
        <v>56049.506869393379</v>
      </c>
      <c r="M25" s="159">
        <v>6418.0945623291091</v>
      </c>
      <c r="N25" s="159"/>
      <c r="O25" s="160">
        <v>7010.30715519757</v>
      </c>
      <c r="P25" s="161">
        <v>7557.9756460000017</v>
      </c>
      <c r="Q25" s="121"/>
    </row>
    <row r="26" spans="1:25" ht="13.5" customHeight="1" thickBot="1" x14ac:dyDescent="0.35">
      <c r="A26" s="121"/>
      <c r="B26" s="173" t="s">
        <v>21</v>
      </c>
      <c r="C26" s="158">
        <f t="shared" si="3"/>
        <v>9611.7616743601975</v>
      </c>
      <c r="D26" s="167">
        <v>3581.3395354845929</v>
      </c>
      <c r="E26" s="167"/>
      <c r="F26" s="167"/>
      <c r="G26" s="167"/>
      <c r="H26" s="168">
        <v>6030.422138875605</v>
      </c>
      <c r="I26" s="175"/>
      <c r="J26" s="121"/>
      <c r="K26" s="186">
        <f t="shared" si="4"/>
        <v>9215.3725472316019</v>
      </c>
      <c r="L26" s="167">
        <v>3533.3413447378066</v>
      </c>
      <c r="M26" s="167">
        <v>3480.039528506336</v>
      </c>
      <c r="N26" s="167"/>
      <c r="O26" s="168">
        <v>2201.9916739874589</v>
      </c>
      <c r="P26" s="175"/>
      <c r="Q26" s="121"/>
    </row>
    <row r="27" spans="1:25" ht="13.5" customHeight="1" thickBot="1" x14ac:dyDescent="0.35">
      <c r="A27" s="121"/>
      <c r="B27" s="187" t="s">
        <v>22</v>
      </c>
      <c r="C27" s="188"/>
      <c r="D27" s="177">
        <v>14310.999999999998</v>
      </c>
      <c r="E27" s="177">
        <v>10473.871361776541</v>
      </c>
      <c r="F27" s="177">
        <v>8292.5482359610724</v>
      </c>
      <c r="G27" s="177">
        <v>9838.690437717607</v>
      </c>
      <c r="H27" s="189">
        <v>17283.999999999996</v>
      </c>
      <c r="I27" s="178">
        <v>31000.000000000004</v>
      </c>
      <c r="J27" s="121"/>
      <c r="K27" s="121"/>
      <c r="L27" s="189">
        <v>14581.873807999998</v>
      </c>
      <c r="M27" s="177">
        <v>14581.873807999998</v>
      </c>
      <c r="N27" s="177">
        <v>12460</v>
      </c>
      <c r="O27" s="189">
        <v>17300</v>
      </c>
      <c r="P27" s="178">
        <v>30000</v>
      </c>
      <c r="Q27" s="121"/>
    </row>
    <row r="28" spans="1:25" ht="15" customHeight="1" x14ac:dyDescent="0.3">
      <c r="A28" s="121"/>
      <c r="B28" s="122"/>
      <c r="C28" s="123"/>
      <c r="D28" s="124"/>
      <c r="E28" s="124"/>
      <c r="F28" s="124"/>
      <c r="G28" s="124"/>
      <c r="H28" s="124"/>
      <c r="I28" s="124"/>
      <c r="J28" s="121"/>
      <c r="K28" s="121"/>
      <c r="L28" s="121"/>
      <c r="M28" s="121"/>
      <c r="N28" s="121"/>
      <c r="O28" s="121"/>
      <c r="P28" s="121"/>
      <c r="Q28" s="121"/>
    </row>
    <row r="30" spans="1:25" x14ac:dyDescent="0.3">
      <c r="B30" s="11"/>
      <c r="C30" s="13"/>
    </row>
    <row r="33" spans="2:3" x14ac:dyDescent="0.3">
      <c r="B33" s="12"/>
    </row>
    <row r="34" spans="2:3" x14ac:dyDescent="0.3">
      <c r="B34" s="12"/>
    </row>
    <row r="35" spans="2:3" x14ac:dyDescent="0.3">
      <c r="B35" s="12"/>
    </row>
    <row r="36" spans="2:3" x14ac:dyDescent="0.3">
      <c r="B36" s="13"/>
      <c r="C36" s="13"/>
    </row>
    <row r="37" spans="2:3" x14ac:dyDescent="0.3">
      <c r="B37" s="12"/>
    </row>
    <row r="38" spans="2:3" x14ac:dyDescent="0.3">
      <c r="B38" s="6"/>
      <c r="C38" s="6"/>
    </row>
    <row r="39" spans="2:3" x14ac:dyDescent="0.3">
      <c r="B39" s="6"/>
      <c r="C39" s="6"/>
    </row>
    <row r="40" spans="2:3" x14ac:dyDescent="0.3">
      <c r="B40" s="6"/>
      <c r="C40" s="6"/>
    </row>
    <row r="41" spans="2:3" x14ac:dyDescent="0.3">
      <c r="B41" s="6"/>
      <c r="C41" s="6"/>
    </row>
    <row r="42" spans="2:3" x14ac:dyDescent="0.3">
      <c r="B42" s="6"/>
      <c r="C42" s="6"/>
    </row>
    <row r="43" spans="2:3" x14ac:dyDescent="0.3">
      <c r="B43" s="12"/>
    </row>
    <row r="44" spans="2:3" x14ac:dyDescent="0.3">
      <c r="B44" s="12"/>
    </row>
    <row r="45" spans="2:3" x14ac:dyDescent="0.3">
      <c r="B45" s="12"/>
    </row>
    <row r="46" spans="2:3" x14ac:dyDescent="0.3">
      <c r="B46" s="13"/>
      <c r="C46" s="13"/>
    </row>
    <row r="47" spans="2:3" x14ac:dyDescent="0.3">
      <c r="B47" s="14"/>
      <c r="C47" s="14"/>
    </row>
    <row r="48" spans="2:3" x14ac:dyDescent="0.3">
      <c r="B48" s="14"/>
      <c r="C48" s="14"/>
    </row>
    <row r="49" spans="2:3" x14ac:dyDescent="0.3">
      <c r="B49" s="14"/>
      <c r="C49" s="14"/>
    </row>
    <row r="50" spans="2:3" x14ac:dyDescent="0.3">
      <c r="B50" s="14"/>
      <c r="C50" s="14"/>
    </row>
    <row r="51" spans="2:3" x14ac:dyDescent="0.3">
      <c r="B51" s="14"/>
      <c r="C51" s="14"/>
    </row>
    <row r="52" spans="2:3" x14ac:dyDescent="0.3">
      <c r="B52" s="14"/>
      <c r="C52" s="14"/>
    </row>
    <row r="53" spans="2:3" x14ac:dyDescent="0.3">
      <c r="B53" s="14"/>
      <c r="C53" s="14"/>
    </row>
    <row r="54" spans="2:3" x14ac:dyDescent="0.3">
      <c r="B54" s="12"/>
    </row>
  </sheetData>
  <mergeCells count="2">
    <mergeCell ref="K2:P2"/>
    <mergeCell ref="C2:I2"/>
  </mergeCells>
  <printOptions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27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27</vt:i4>
      </vt:variant>
    </vt:vector>
  </HeadingPairs>
  <TitlesOfParts>
    <vt:vector size="58" baseType="lpstr">
      <vt:lpstr>Cover</vt:lpstr>
      <vt:lpstr>Belgium</vt:lpstr>
      <vt:lpstr>Canada</vt:lpstr>
      <vt:lpstr>Germany</vt:lpstr>
      <vt:lpstr>Hungary</vt:lpstr>
      <vt:lpstr>Italy</vt:lpstr>
      <vt:lpstr>Netherlands</vt:lpstr>
      <vt:lpstr>Spain</vt:lpstr>
      <vt:lpstr>Austria</vt:lpstr>
      <vt:lpstr>Belarus</vt:lpstr>
      <vt:lpstr>Croatia</vt:lpstr>
      <vt:lpstr>Czechia</vt:lpstr>
      <vt:lpstr>Finland</vt:lpstr>
      <vt:lpstr>Georgia</vt:lpstr>
      <vt:lpstr>Kazakhstan</vt:lpstr>
      <vt:lpstr>Latvia</vt:lpstr>
      <vt:lpstr>Lithuania</vt:lpstr>
      <vt:lpstr>Macedonia</vt:lpstr>
      <vt:lpstr>Moldova</vt:lpstr>
      <vt:lpstr>Montenegro</vt:lpstr>
      <vt:lpstr>Portugal</vt:lpstr>
      <vt:lpstr>Russia</vt:lpstr>
      <vt:lpstr>Serbia</vt:lpstr>
      <vt:lpstr>Slovakia</vt:lpstr>
      <vt:lpstr>Turkey</vt:lpstr>
      <vt:lpstr>Ukraine</vt:lpstr>
      <vt:lpstr>Comparison</vt:lpstr>
      <vt:lpstr>Chart1</vt:lpstr>
      <vt:lpstr>Chart2</vt:lpstr>
      <vt:lpstr>Chart3</vt:lpstr>
      <vt:lpstr>Chart4</vt:lpstr>
      <vt:lpstr>Austria!Print_Area</vt:lpstr>
      <vt:lpstr>Belarus!Print_Area</vt:lpstr>
      <vt:lpstr>Belgium!Print_Area</vt:lpstr>
      <vt:lpstr>Canada!Print_Area</vt:lpstr>
      <vt:lpstr>Comparison!Print_Area</vt:lpstr>
      <vt:lpstr>Cover!Print_Area</vt:lpstr>
      <vt:lpstr>Croatia!Print_Area</vt:lpstr>
      <vt:lpstr>Czechia!Print_Area</vt:lpstr>
      <vt:lpstr>Finland!Print_Area</vt:lpstr>
      <vt:lpstr>Georgia!Print_Area</vt:lpstr>
      <vt:lpstr>Germany!Print_Area</vt:lpstr>
      <vt:lpstr>Hungary!Print_Area</vt:lpstr>
      <vt:lpstr>Italy!Print_Area</vt:lpstr>
      <vt:lpstr>Kazakhstan!Print_Area</vt:lpstr>
      <vt:lpstr>Latvia!Print_Area</vt:lpstr>
      <vt:lpstr>Lithuania!Print_Area</vt:lpstr>
      <vt:lpstr>Macedonia!Print_Area</vt:lpstr>
      <vt:lpstr>Moldova!Print_Area</vt:lpstr>
      <vt:lpstr>Montenegro!Print_Area</vt:lpstr>
      <vt:lpstr>Netherlands!Print_Area</vt:lpstr>
      <vt:lpstr>Portugal!Print_Area</vt:lpstr>
      <vt:lpstr>Russia!Print_Area</vt:lpstr>
      <vt:lpstr>Serbia!Print_Area</vt:lpstr>
      <vt:lpstr>Slovakia!Print_Area</vt:lpstr>
      <vt:lpstr>Spain!Print_Area</vt:lpstr>
      <vt:lpstr>Turkey!Print_Area</vt:lpstr>
      <vt:lpstr>Ukraine!Print_Area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Whiteman</dc:creator>
  <cp:lastModifiedBy>Adrian Whiteman</cp:lastModifiedBy>
  <cp:lastPrinted>2016-12-16T14:25:03Z</cp:lastPrinted>
  <dcterms:created xsi:type="dcterms:W3CDTF">2016-11-28T17:03:27Z</dcterms:created>
  <dcterms:modified xsi:type="dcterms:W3CDTF">2016-12-16T14:25:25Z</dcterms:modified>
</cp:coreProperties>
</file>