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9.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1.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4.xml" ContentType="application/vnd.openxmlformats-officedocument.drawing+xml"/>
  <Override PartName="/xl/worksheets/sheet21.xml" ContentType="application/vnd.openxmlformats-officedocument.spreadsheetml.worksheet+xml"/>
  <Override PartName="/xl/comments21.xml" ContentType="application/vnd.openxmlformats-officedocument.spreadsheetml.comments+xml"/>
  <Override PartName="/xl/drawings/drawing15.xml" ContentType="application/vnd.openxmlformats-officedocument.drawing+xml"/>
  <Override PartName="/xl/worksheets/sheet22.xml" ContentType="application/vnd.openxmlformats-officedocument.spreadsheetml.worksheet+xml"/>
  <Override PartName="/xl/comments22.xml" ContentType="application/vnd.openxmlformats-officedocument.spreadsheetml.comments+xml"/>
  <Override PartName="/xl/drawings/drawing16.xml" ContentType="application/vnd.openxmlformats-officedocument.drawing+xml"/>
  <Override PartName="/xl/worksheets/sheet23.xml" ContentType="application/vnd.openxmlformats-officedocument.spreadsheetml.worksheet+xml"/>
  <Override PartName="/xl/comments23.xml" ContentType="application/vnd.openxmlformats-officedocument.spreadsheetml.comments+xml"/>
  <Override PartName="/xl/drawings/drawing1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comments25.xml" ContentType="application/vnd.openxmlformats-officedocument.spreadsheetml.comments+xml"/>
  <Override PartName="/xl/drawings/drawing18.xml" ContentType="application/vnd.openxmlformats-officedocument.drawing+xml"/>
  <Override PartName="/xl/worksheets/sheet26.xml" ContentType="application/vnd.openxmlformats-officedocument.spreadsheetml.worksheet+xml"/>
  <Override PartName="/xl/comments26.xml" ContentType="application/vnd.openxmlformats-officedocument.spreadsheetml.comments+xml"/>
  <Override PartName="/xl/drawings/drawing19.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hidePivotFieldList="1"/>
  <bookViews>
    <workbookView xWindow="0" yWindow="8010" windowWidth="3885" windowHeight="9885" tabRatio="952" activeTab="0"/>
  </bookViews>
  <sheets>
    <sheet name="Table of contents" sheetId="1" r:id="rId1"/>
    <sheet name="Assumptions" sheetId="2" r:id="rId2"/>
    <sheet name="Interactive chart" sheetId="3" r:id="rId3"/>
    <sheet name="Overview Sources" sheetId="4" r:id="rId4"/>
    <sheet name="Table Sources" sheetId="5" r:id="rId5"/>
    <sheet name="Overview User" sheetId="6" r:id="rId6"/>
    <sheet name="Table user" sheetId="7" r:id="rId7"/>
    <sheet name="Wood Energy vs TPES" sheetId="8" r:id="rId8"/>
    <sheet name="Pellets per country" sheetId="9" r:id="rId9"/>
    <sheet name="JWEE filled fields" sheetId="10" r:id="rId10"/>
    <sheet name="Europe" sheetId="11" state="hidden" r:id="rId11"/>
    <sheet name="Austria" sheetId="12" r:id="rId12"/>
    <sheet name="Czech Republic" sheetId="13" r:id="rId13"/>
    <sheet name="France" sheetId="14" r:id="rId14"/>
    <sheet name="Finland" sheetId="15" r:id="rId15"/>
    <sheet name="Germany" sheetId="16" r:id="rId16"/>
    <sheet name="Lithuania" sheetId="17" r:id="rId17"/>
    <sheet name="Netherlands" sheetId="18" r:id="rId18"/>
    <sheet name="Norway" sheetId="19" r:id="rId19"/>
    <sheet name="Slovenia" sheetId="20" r:id="rId20"/>
    <sheet name="Sweden" sheetId="21" r:id="rId21"/>
    <sheet name="Switzerland" sheetId="22" r:id="rId22"/>
    <sheet name="United Kingdom" sheetId="23" r:id="rId23"/>
    <sheet name="North America" sheetId="24" state="hidden" r:id="rId24"/>
    <sheet name="Canada" sheetId="25" r:id="rId25"/>
    <sheet name="USA" sheetId="26" r:id="rId26"/>
    <sheet name="Table JWPFES report" sheetId="27" state="hidden" r:id="rId27"/>
    <sheet name="JFSQ p1" sheetId="28" r:id="rId28"/>
    <sheet name="JFSQ p3" sheetId="29" r:id="rId29"/>
    <sheet name="JFSQ p70" sheetId="30" r:id="rId30"/>
    <sheet name="post consumer wood E31" sheetId="31" r:id="rId31"/>
    <sheet name="Country spez. data COST E31" sheetId="32" r:id="rId32"/>
    <sheet name="Eurobserver 2005" sheetId="33" r:id="rId33"/>
  </sheets>
  <externalReferences>
    <externalReference r:id="rId36"/>
  </externalReferences>
  <definedNames>
    <definedName name="_Key1" hidden="1">#REF!</definedName>
    <definedName name="_Order1" hidden="1">255</definedName>
    <definedName name="_Sort" hidden="1">#REF!</definedName>
    <definedName name="Country_Number_List">#REF!</definedName>
    <definedName name="_xlnm.Print_Area" localSheetId="11">'Austria'!$AJ$8:$AQ$30</definedName>
    <definedName name="_xlnm.Print_Area" localSheetId="24">'Canada'!$AJ$8:$AQ$32</definedName>
    <definedName name="_xlnm.Print_Area" localSheetId="12">'Czech Republic'!$AJ$8:$AQ$32</definedName>
    <definedName name="_xlnm.Print_Area" localSheetId="14">'Finland'!$AJ$8:$AQ$30</definedName>
    <definedName name="_xlnm.Print_Area" localSheetId="13">'France'!$AJ$8:$AQ$32</definedName>
    <definedName name="_xlnm.Print_Area" localSheetId="15">'Germany'!$AJ$8:$AQ$32</definedName>
    <definedName name="_xlnm.Print_Area" localSheetId="2">'Interactive chart'!$B$27:$M$85</definedName>
    <definedName name="_xlnm.Print_Area" localSheetId="9">'JWEE filled fields'!$C$6:$AH$28</definedName>
    <definedName name="_xlnm.Print_Area" localSheetId="16">'Lithuania'!$AJ$8:$AQ$32</definedName>
    <definedName name="_xlnm.Print_Area" localSheetId="17">'Netherlands'!$AJ$8:$AQ$32</definedName>
    <definedName name="_xlnm.Print_Area" localSheetId="18">'Norway'!$AJ$8:$AQ$32</definedName>
    <definedName name="_xlnm.Print_Area" localSheetId="3">'Overview Sources'!$A$2:$H$49</definedName>
    <definedName name="_xlnm.Print_Area" localSheetId="5">'Overview User'!$A$2:$AB$33</definedName>
    <definedName name="_xlnm.Print_Area" localSheetId="19">'Slovenia'!$AJ$8:$AQ$32</definedName>
    <definedName name="_xlnm.Print_Area" localSheetId="20">'Sweden'!$AJ$8:$AQ$32</definedName>
    <definedName name="_xlnm.Print_Area" localSheetId="21">'Switzerland'!$AJ$8:$AQ$32</definedName>
    <definedName name="_xlnm.Print_Area" localSheetId="22">'United Kingdom'!$AJ$8:$AQ$32</definedName>
    <definedName name="_xlnm.Print_Area" localSheetId="25">'USA'!$AJ$8:$AQ$32</definedName>
  </definedNames>
  <calcPr fullCalcOnLoad="1"/>
</workbook>
</file>

<file path=xl/comments13.xml><?xml version="1.0" encoding="utf-8"?>
<comments xmlns="http://schemas.openxmlformats.org/spreadsheetml/2006/main">
  <authors>
    <author>steierer</author>
  </authors>
  <commentList>
    <comment ref="AB25" authorId="0">
      <text>
        <r>
          <rPr>
            <b/>
            <sz val="12"/>
            <rFont val="Tahoma"/>
            <family val="2"/>
          </rPr>
          <t>steierer:</t>
        </r>
        <r>
          <rPr>
            <sz val="12"/>
            <rFont val="Tahoma"/>
            <family val="2"/>
          </rPr>
          <t xml:space="preserve">
U 13 Black liquor in tons
corresponds to about 428000 m3 roundwood equivalent
</t>
        </r>
      </text>
    </comment>
  </commentList>
</comments>
</file>

<file path=xl/comments14.xml><?xml version="1.0" encoding="utf-8"?>
<comments xmlns="http://schemas.openxmlformats.org/spreadsheetml/2006/main">
  <authors>
    <author>steierer</author>
    <author>Florian steierer</author>
  </authors>
  <commentList>
    <comment ref="AC26" authorId="0">
      <text>
        <r>
          <rPr>
            <b/>
            <sz val="16"/>
            <rFont val="Tahoma"/>
            <family val="2"/>
          </rPr>
          <t>steierer:</t>
        </r>
        <r>
          <rPr>
            <sz val="16"/>
            <rFont val="Tahoma"/>
            <family val="2"/>
          </rPr>
          <t xml:space="preserve">
Mtoe</t>
        </r>
      </text>
    </comment>
    <comment ref="AA26" authorId="0">
      <text>
        <r>
          <rPr>
            <b/>
            <sz val="14"/>
            <rFont val="Tahoma"/>
            <family val="2"/>
          </rPr>
          <t>steierer:</t>
        </r>
        <r>
          <rPr>
            <sz val="14"/>
            <rFont val="Tahoma"/>
            <family val="2"/>
          </rPr>
          <t xml:space="preserve">
Mtoe</t>
        </r>
      </text>
    </comment>
    <comment ref="Z26" authorId="0">
      <text>
        <r>
          <rPr>
            <b/>
            <sz val="12"/>
            <rFont val="Tahoma"/>
            <family val="2"/>
          </rPr>
          <t>steierer:</t>
        </r>
        <r>
          <rPr>
            <sz val="12"/>
            <rFont val="Tahoma"/>
            <family val="2"/>
          </rPr>
          <t xml:space="preserve">
Mtoe in the new version together with the 0,8 Mtoe col T</t>
        </r>
      </text>
    </comment>
    <comment ref="W26" authorId="0">
      <text>
        <r>
          <rPr>
            <b/>
            <sz val="8"/>
            <rFont val="Tahoma"/>
            <family val="0"/>
          </rPr>
          <t>steierer:</t>
        </r>
        <r>
          <rPr>
            <sz val="8"/>
            <rFont val="Tahoma"/>
            <family val="0"/>
          </rPr>
          <t xml:space="preserve">
Mtoe</t>
        </r>
      </text>
    </comment>
    <comment ref="K24" authorId="1">
      <text>
        <r>
          <rPr>
            <b/>
            <sz val="8"/>
            <rFont val="Tahoma"/>
            <family val="0"/>
          </rPr>
          <t>Mme Joucla</t>
        </r>
        <r>
          <rPr>
            <sz val="8"/>
            <rFont val="Tahoma"/>
            <family val="0"/>
          </rPr>
          <t xml:space="preserve">
Pellets. Les estimations dont je dispose font état d’une consommation de 200 000 tonnes et pour une production domestique de 150 000 tonnes (source : Etude Blezat/Ademe)</t>
        </r>
      </text>
    </comment>
    <comment ref="AB27" authorId="1">
      <text>
        <r>
          <rPr>
            <b/>
            <sz val="8"/>
            <rFont val="Tahoma"/>
            <family val="0"/>
          </rPr>
          <t>Florian steierer:</t>
        </r>
        <r>
          <rPr>
            <sz val="8"/>
            <rFont val="Tahoma"/>
            <family val="0"/>
          </rPr>
          <t xml:space="preserve">
Old calculation for black liquor - Method UNECE </t>
        </r>
      </text>
    </comment>
  </commentList>
</comments>
</file>

<file path=xl/comments15.xml><?xml version="1.0" encoding="utf-8"?>
<comments xmlns="http://schemas.openxmlformats.org/spreadsheetml/2006/main">
  <authors>
    <author>Florian steierer</author>
  </authors>
  <commentList>
    <comment ref="F24" authorId="0">
      <text>
        <r>
          <rPr>
            <b/>
            <sz val="8"/>
            <rFont val="Tahoma"/>
            <family val="0"/>
          </rPr>
          <t>Florian steierer:</t>
        </r>
        <r>
          <rPr>
            <sz val="8"/>
            <rFont val="Tahoma"/>
            <family val="0"/>
          </rPr>
          <t xml:space="preserve">
Stock changes from previous years</t>
        </r>
      </text>
    </comment>
    <comment ref="G22" authorId="0">
      <text>
        <r>
          <rPr>
            <b/>
            <sz val="8"/>
            <rFont val="Tahoma"/>
            <family val="0"/>
          </rPr>
          <t>Florian steierer:</t>
        </r>
        <r>
          <rPr>
            <sz val="8"/>
            <rFont val="Tahoma"/>
            <family val="0"/>
          </rPr>
          <t xml:space="preserve">
Finland conversioon bulk volume to solid volume: 0,35 solid = 1 m3 buly volume
</t>
        </r>
      </text>
    </comment>
    <comment ref="AF23" authorId="0">
      <text>
        <r>
          <rPr>
            <b/>
            <sz val="8"/>
            <rFont val="Tahoma"/>
            <family val="0"/>
          </rPr>
          <t>Florian steierer:</t>
        </r>
        <r>
          <rPr>
            <sz val="8"/>
            <rFont val="Tahoma"/>
            <family val="0"/>
          </rPr>
          <t xml:space="preserve">
Assumption secretariat
</t>
        </r>
      </text>
    </comment>
  </commentList>
</comments>
</file>

<file path=xl/comments16.xml><?xml version="1.0" encoding="utf-8"?>
<comments xmlns="http://schemas.openxmlformats.org/spreadsheetml/2006/main">
  <authors>
    <author>Admin</author>
  </authors>
  <commentList>
    <comment ref="H13" authorId="0">
      <text>
        <r>
          <rPr>
            <b/>
            <sz val="8"/>
            <rFont val="Tahoma"/>
            <family val="0"/>
          </rPr>
          <t>Admin:</t>
        </r>
        <r>
          <rPr>
            <sz val="8"/>
            <rFont val="Tahoma"/>
            <family val="0"/>
          </rPr>
          <t xml:space="preserve">
officially registered: 54,504 M m³
not registered:
3,208 M m³
change in stock:
0,225 M m³</t>
        </r>
      </text>
    </comment>
    <comment ref="H18" authorId="0">
      <text>
        <r>
          <rPr>
            <b/>
            <sz val="8"/>
            <rFont val="Tahoma"/>
            <family val="0"/>
          </rPr>
          <t>Admin:</t>
        </r>
        <r>
          <rPr>
            <sz val="8"/>
            <rFont val="Tahoma"/>
            <family val="0"/>
          </rPr>
          <t xml:space="preserve">
production:
12,556
change in stock:
0,131</t>
        </r>
      </text>
    </comment>
    <comment ref="O19" authorId="0">
      <text>
        <r>
          <rPr>
            <b/>
            <sz val="8"/>
            <rFont val="Tahoma"/>
            <family val="0"/>
          </rPr>
          <t>Admin:</t>
        </r>
        <r>
          <rPr>
            <sz val="8"/>
            <rFont val="Tahoma"/>
            <family val="0"/>
          </rPr>
          <t xml:space="preserve">
other producers:
0,056 M m³
sold to disposal companies:
0,732 M m³</t>
        </r>
      </text>
    </comment>
    <comment ref="H21" authorId="0">
      <text>
        <r>
          <rPr>
            <b/>
            <sz val="8"/>
            <rFont val="Tahoma"/>
            <family val="0"/>
          </rPr>
          <t>Admin:</t>
        </r>
        <r>
          <rPr>
            <sz val="8"/>
            <rFont val="Tahoma"/>
            <family val="0"/>
          </rPr>
          <t xml:space="preserve">
6,638 - 0,017 (landfill)</t>
        </r>
      </text>
    </comment>
    <comment ref="H22" authorId="0">
      <text>
        <r>
          <rPr>
            <b/>
            <sz val="8"/>
            <rFont val="Tahoma"/>
            <family val="0"/>
          </rPr>
          <t>Admin:</t>
        </r>
        <r>
          <rPr>
            <sz val="8"/>
            <rFont val="Tahoma"/>
            <family val="0"/>
          </rPr>
          <t xml:space="preserve">
production:
7,610
left in the forest:
0,410</t>
        </r>
      </text>
    </comment>
  </commentList>
</comments>
</file>

<file path=xl/comments17.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18.xml><?xml version="1.0" encoding="utf-8"?>
<comments xmlns="http://schemas.openxmlformats.org/spreadsheetml/2006/main">
  <authors>
    <author>steierer</author>
    <author>Florian steierer</author>
  </authors>
  <commentList>
    <comment ref="V25" authorId="0">
      <text>
        <r>
          <rPr>
            <b/>
            <sz val="8"/>
            <rFont val="Tahoma"/>
            <family val="0"/>
          </rPr>
          <t>steierer:</t>
        </r>
        <r>
          <rPr>
            <sz val="8"/>
            <rFont val="Tahoma"/>
            <family val="0"/>
          </rPr>
          <t xml:space="preserve">
ECE estimate
</t>
        </r>
      </text>
    </comment>
    <comment ref="K17" authorId="1">
      <text>
        <r>
          <rPr>
            <b/>
            <sz val="8"/>
            <rFont val="Tahoma"/>
            <family val="0"/>
          </rPr>
          <t>Florian steierer:</t>
        </r>
        <r>
          <rPr>
            <sz val="8"/>
            <rFont val="Tahoma"/>
            <family val="0"/>
          </rPr>
          <t xml:space="preserve">
cum</t>
        </r>
      </text>
    </comment>
    <comment ref="K19" authorId="1">
      <text>
        <r>
          <rPr>
            <b/>
            <sz val="8"/>
            <rFont val="Tahoma"/>
            <family val="0"/>
          </rPr>
          <t>Florian steierer:</t>
        </r>
        <r>
          <rPr>
            <sz val="8"/>
            <rFont val="Tahoma"/>
            <family val="0"/>
          </rPr>
          <t xml:space="preserve">
cum aded by ece
</t>
        </r>
      </text>
    </comment>
  </commentList>
</comments>
</file>

<file path=xl/comments19.xml><?xml version="1.0" encoding="utf-8"?>
<comments xmlns="http://schemas.openxmlformats.org/spreadsheetml/2006/main">
  <authors>
    <author>steierer</author>
  </authors>
  <commentList>
    <comment ref="AB25" authorId="0">
      <text>
        <r>
          <rPr>
            <b/>
            <sz val="12"/>
            <rFont val="Tahoma"/>
            <family val="2"/>
          </rPr>
          <t>steierer:</t>
        </r>
        <r>
          <rPr>
            <sz val="12"/>
            <rFont val="Tahoma"/>
            <family val="2"/>
          </rPr>
          <t xml:space="preserve">
U 13 Black liquor in tons</t>
        </r>
      </text>
    </comment>
  </commentList>
</comments>
</file>

<file path=xl/comments20.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21.xml><?xml version="1.0" encoding="utf-8"?>
<comments xmlns="http://schemas.openxmlformats.org/spreadsheetml/2006/main">
  <authors>
    <author>steierer</author>
  </authors>
  <commentList>
    <comment ref="AB18" authorId="0">
      <text>
        <r>
          <rPr>
            <b/>
            <sz val="12"/>
            <rFont val="Tahoma"/>
            <family val="2"/>
          </rPr>
          <t>steierer:</t>
        </r>
        <r>
          <rPr>
            <sz val="12"/>
            <rFont val="Tahoma"/>
            <family val="2"/>
          </rPr>
          <t xml:space="preserve">
Calculated from the energy statistics</t>
        </r>
      </text>
    </comment>
    <comment ref="V25" authorId="0">
      <text>
        <r>
          <rPr>
            <b/>
            <sz val="8"/>
            <rFont val="Tahoma"/>
            <family val="0"/>
          </rPr>
          <t>steierer:</t>
        </r>
        <r>
          <rPr>
            <sz val="8"/>
            <rFont val="Tahoma"/>
            <family val="0"/>
          </rPr>
          <t xml:space="preserve">
UNECE calculated
</t>
        </r>
      </text>
    </comment>
  </commentList>
</comments>
</file>

<file path=xl/comments22.xml><?xml version="1.0" encoding="utf-8"?>
<comments xmlns="http://schemas.openxmlformats.org/spreadsheetml/2006/main">
  <authors>
    <author>steierer</author>
  </authors>
  <commentList>
    <comment ref="V25" authorId="0">
      <text>
        <r>
          <rPr>
            <b/>
            <sz val="8"/>
            <rFont val="Tahoma"/>
            <family val="0"/>
          </rPr>
          <t>steierer:</t>
        </r>
        <r>
          <rPr>
            <sz val="8"/>
            <rFont val="Tahoma"/>
            <family val="0"/>
          </rPr>
          <t xml:space="preserve">
ECE estimate
</t>
        </r>
      </text>
    </comment>
  </commentList>
</comments>
</file>

<file path=xl/comments23.xml><?xml version="1.0" encoding="utf-8"?>
<comments xmlns="http://schemas.openxmlformats.org/spreadsheetml/2006/main">
  <authors>
    <author>steierer</author>
    <author>Florian steierer</author>
  </authors>
  <commentList>
    <comment ref="V25" authorId="0">
      <text>
        <r>
          <rPr>
            <b/>
            <sz val="8"/>
            <rFont val="Tahoma"/>
            <family val="0"/>
          </rPr>
          <t>steierer:</t>
        </r>
        <r>
          <rPr>
            <sz val="8"/>
            <rFont val="Tahoma"/>
            <family val="0"/>
          </rPr>
          <t xml:space="preserve">
ECE estimate
</t>
        </r>
      </text>
    </comment>
    <comment ref="H24" authorId="1">
      <text>
        <r>
          <rPr>
            <b/>
            <sz val="8"/>
            <rFont val="Tahoma"/>
            <family val="0"/>
          </rPr>
          <t>Florian steierer:</t>
        </r>
        <r>
          <rPr>
            <sz val="8"/>
            <rFont val="Tahoma"/>
            <family val="0"/>
          </rPr>
          <t xml:space="preserve">
Sheila ward, comment per e-mail  08 January 2007
</t>
        </r>
      </text>
    </comment>
  </commentList>
</comments>
</file>

<file path=xl/comments25.xml><?xml version="1.0" encoding="utf-8"?>
<comments xmlns="http://schemas.openxmlformats.org/spreadsheetml/2006/main">
  <authors>
    <author>steierer</author>
  </authors>
  <commentList>
    <comment ref="AC26" authorId="0">
      <text>
        <r>
          <rPr>
            <b/>
            <sz val="16"/>
            <rFont val="Tahoma"/>
            <family val="2"/>
          </rPr>
          <t>steierer:</t>
        </r>
        <r>
          <rPr>
            <sz val="16"/>
            <rFont val="Tahoma"/>
            <family val="2"/>
          </rPr>
          <t xml:space="preserve">
Mtoe</t>
        </r>
      </text>
    </comment>
    <comment ref="V18" authorId="0">
      <text>
        <r>
          <rPr>
            <b/>
            <sz val="8"/>
            <rFont val="Tahoma"/>
            <family val="0"/>
          </rPr>
          <t>steierer:</t>
        </r>
        <r>
          <rPr>
            <sz val="8"/>
            <rFont val="Tahoma"/>
            <family val="0"/>
          </rPr>
          <t xml:space="preserve">
UNECE  estimate</t>
        </r>
      </text>
    </comment>
    <comment ref="AB25" authorId="0">
      <text>
        <r>
          <rPr>
            <b/>
            <sz val="12"/>
            <rFont val="Tahoma"/>
            <family val="2"/>
          </rPr>
          <t>steierer:</t>
        </r>
        <r>
          <rPr>
            <sz val="12"/>
            <rFont val="Tahoma"/>
            <family val="2"/>
          </rPr>
          <t xml:space="preserve">
cum based on jfsq
</t>
        </r>
      </text>
    </comment>
  </commentList>
</comments>
</file>

<file path=xl/comments26.xml><?xml version="1.0" encoding="utf-8"?>
<comments xmlns="http://schemas.openxmlformats.org/spreadsheetml/2006/main">
  <authors>
    <author>steierer</author>
  </authors>
  <commentList>
    <comment ref="V17" authorId="0">
      <text>
        <r>
          <rPr>
            <b/>
            <sz val="12"/>
            <rFont val="Tahoma"/>
            <family val="2"/>
          </rPr>
          <t>steierer:</t>
        </r>
        <r>
          <rPr>
            <sz val="12"/>
            <rFont val="Tahoma"/>
            <family val="2"/>
          </rPr>
          <t xml:space="preserve">
neglible</t>
        </r>
      </text>
    </comment>
    <comment ref="AB25" authorId="0">
      <text>
        <r>
          <rPr>
            <b/>
            <sz val="14"/>
            <rFont val="Tahoma"/>
            <family val="2"/>
          </rPr>
          <t>steierer:</t>
        </r>
        <r>
          <rPr>
            <sz val="14"/>
            <rFont val="Tahoma"/>
            <family val="2"/>
          </rPr>
          <t xml:space="preserve">
UNECE very rough estimate based on the JFSQ data for chem pulp 2004 (46.1 milloin tons):
assumption: per ton chem. Pulp 0,2 tons lignin are extracted. </t>
        </r>
      </text>
    </comment>
  </commentList>
</comments>
</file>

<file path=xl/sharedStrings.xml><?xml version="1.0" encoding="utf-8"?>
<sst xmlns="http://schemas.openxmlformats.org/spreadsheetml/2006/main" count="6795" uniqueCount="555">
  <si>
    <t>VERSION  28 July 2006</t>
  </si>
  <si>
    <t>Sweden</t>
  </si>
  <si>
    <t xml:space="preserve">Joint Wood Energy Enquiry </t>
  </si>
  <si>
    <t>YEAR: 2005</t>
  </si>
  <si>
    <t>A</t>
  </si>
  <si>
    <t xml:space="preserve">B </t>
  </si>
  <si>
    <t>C</t>
  </si>
  <si>
    <t>D</t>
  </si>
  <si>
    <t>E</t>
  </si>
  <si>
    <t>F</t>
  </si>
  <si>
    <t>G</t>
  </si>
  <si>
    <t>H</t>
  </si>
  <si>
    <t>I</t>
  </si>
  <si>
    <t>J</t>
  </si>
  <si>
    <t xml:space="preserve">K </t>
  </si>
  <si>
    <t>L</t>
  </si>
  <si>
    <t>M</t>
  </si>
  <si>
    <t>N</t>
  </si>
  <si>
    <t>O</t>
  </si>
  <si>
    <t>P</t>
  </si>
  <si>
    <t>Q</t>
  </si>
  <si>
    <t>R</t>
  </si>
  <si>
    <t>S</t>
  </si>
  <si>
    <t>T</t>
  </si>
  <si>
    <t>U</t>
  </si>
  <si>
    <t>V</t>
  </si>
  <si>
    <t>W</t>
  </si>
  <si>
    <t>X</t>
  </si>
  <si>
    <t>Y</t>
  </si>
  <si>
    <t>USER</t>
  </si>
  <si>
    <t>domestic production *)                     A</t>
  </si>
  <si>
    <t>non energy use by wood processors</t>
  </si>
  <si>
    <t>energy uses</t>
  </si>
  <si>
    <t>Inhabitants:</t>
  </si>
  <si>
    <t>wood  for commercial energy production</t>
  </si>
  <si>
    <t>wood for direct energy use</t>
  </si>
  <si>
    <t>sawmill Industry</t>
  </si>
  <si>
    <t>panel prod.</t>
  </si>
  <si>
    <t>pulp  prod.</t>
  </si>
  <si>
    <t>other prod.</t>
  </si>
  <si>
    <t>production of energy carriers</t>
  </si>
  <si>
    <t>Wood Input to produce …</t>
  </si>
  <si>
    <t>Energy Output</t>
  </si>
  <si>
    <t>Industry</t>
  </si>
  <si>
    <t xml:space="preserve">
house-holds</t>
  </si>
  <si>
    <t>agriculture</t>
  </si>
  <si>
    <t>services</t>
  </si>
  <si>
    <t>Total</t>
  </si>
  <si>
    <t>origin. unit</t>
  </si>
  <si>
    <t xml:space="preserve">pellets </t>
  </si>
  <si>
    <t xml:space="preserve">charcoal </t>
  </si>
  <si>
    <t xml:space="preserve">biofuel </t>
  </si>
  <si>
    <t>heat</t>
  </si>
  <si>
    <t>electricity</t>
  </si>
  <si>
    <t>CHP</t>
  </si>
  <si>
    <t>Total wood</t>
  </si>
  <si>
    <t>heat       
(TJ)</t>
  </si>
  <si>
    <t>electricity 
(GWh)</t>
  </si>
  <si>
    <t>Total energy (Toe)</t>
  </si>
  <si>
    <t xml:space="preserve">Forest based </t>
  </si>
  <si>
    <t>Other</t>
  </si>
  <si>
    <t xml:space="preserve">Total </t>
  </si>
  <si>
    <t>1</t>
  </si>
  <si>
    <t>SOURCES</t>
  </si>
  <si>
    <t xml:space="preserve">Industrial Roundwood </t>
  </si>
  <si>
    <t>1000m³ [scu]</t>
  </si>
  <si>
    <t>[m3]</t>
  </si>
  <si>
    <t>U1 Power and heat</t>
  </si>
  <si>
    <t>U2 Industrial</t>
  </si>
  <si>
    <t>U3 Private households</t>
  </si>
  <si>
    <t>%</t>
  </si>
  <si>
    <t>2</t>
  </si>
  <si>
    <t>na</t>
  </si>
  <si>
    <t>S1 Direct</t>
  </si>
  <si>
    <t>3</t>
  </si>
  <si>
    <t xml:space="preserve">Logging residues </t>
  </si>
  <si>
    <t>S2 Indirect</t>
  </si>
  <si>
    <t>4</t>
  </si>
  <si>
    <t>Thinnings</t>
  </si>
  <si>
    <t>S3 Recovered</t>
  </si>
  <si>
    <t>5</t>
  </si>
  <si>
    <t xml:space="preserve">Short rotation energy coppice </t>
  </si>
  <si>
    <t>6</t>
  </si>
  <si>
    <t xml:space="preserve">Primary industrial residues </t>
  </si>
  <si>
    <t>7</t>
  </si>
  <si>
    <t>8</t>
  </si>
  <si>
    <t>Wood from urban and amenity trees</t>
  </si>
  <si>
    <t>t air dry</t>
  </si>
  <si>
    <t>9</t>
  </si>
  <si>
    <t>Post consumer recovered wood</t>
  </si>
  <si>
    <t>10</t>
  </si>
  <si>
    <t xml:space="preserve">Bark </t>
  </si>
  <si>
    <t>1000 m³  [bv]</t>
  </si>
  <si>
    <t>Wood equivalent for energy (m3)</t>
  </si>
  <si>
    <t>11</t>
  </si>
  <si>
    <t>Charcoal</t>
  </si>
  <si>
    <t>1000 mt</t>
  </si>
  <si>
    <t>12</t>
  </si>
  <si>
    <t xml:space="preserve">Pellets </t>
  </si>
  <si>
    <t>t</t>
  </si>
  <si>
    <t>13</t>
  </si>
  <si>
    <t>Black liquor</t>
  </si>
  <si>
    <t>Direct fuelwood consumption per inhabitant (m3/a)</t>
  </si>
  <si>
    <t>14</t>
  </si>
  <si>
    <t>Total:</t>
  </si>
  <si>
    <t>Estimated Energy content (MToe)</t>
  </si>
  <si>
    <t xml:space="preserve"> </t>
  </si>
  <si>
    <t xml:space="preserve"> = fill in these fields  </t>
  </si>
  <si>
    <t>t = metric tons</t>
  </si>
  <si>
    <t xml:space="preserve"> = these fields have priority =&gt;estimates if no data available</t>
  </si>
  <si>
    <t>m³ [scu]= solid cubic metre, underbark</t>
  </si>
  <si>
    <t xml:space="preserve"> = No data required</t>
  </si>
  <si>
    <t>TJ</t>
  </si>
  <si>
    <t>*) if data for storage are available, they are directly added or substracted</t>
  </si>
  <si>
    <r>
      <t xml:space="preserve">
import                </t>
    </r>
    <r>
      <rPr>
        <sz val="10"/>
        <color indexed="9"/>
        <rFont val="Arial"/>
        <family val="2"/>
      </rPr>
      <t xml:space="preserve">                           . </t>
    </r>
    <r>
      <rPr>
        <sz val="10"/>
        <rFont val="Arial"/>
        <family val="2"/>
      </rPr>
      <t xml:space="preserve">                      B</t>
    </r>
  </si>
  <si>
    <r>
      <t xml:space="preserve">
export           </t>
    </r>
    <r>
      <rPr>
        <sz val="10"/>
        <color indexed="9"/>
        <rFont val="Arial"/>
        <family val="2"/>
      </rPr>
      <t xml:space="preserve">                               .     </t>
    </r>
    <r>
      <rPr>
        <sz val="10"/>
        <rFont val="Arial"/>
        <family val="2"/>
      </rPr>
      <t xml:space="preserve">                  C</t>
    </r>
  </si>
  <si>
    <r>
      <t xml:space="preserve">domestic availablity   </t>
    </r>
    <r>
      <rPr>
        <sz val="10"/>
        <color indexed="9"/>
        <rFont val="Arial"/>
        <family val="2"/>
      </rPr>
      <t xml:space="preserve">  .  </t>
    </r>
    <r>
      <rPr>
        <sz val="10"/>
        <rFont val="Arial"/>
        <family val="2"/>
      </rPr>
      <t xml:space="preserve">                =A+B-C</t>
    </r>
  </si>
  <si>
    <r>
      <t xml:space="preserve">Fuelwood </t>
    </r>
  </si>
  <si>
    <r>
      <t>m</t>
    </r>
    <r>
      <rPr>
        <vertAlign val="superscript"/>
        <sz val="10"/>
        <rFont val="Arial"/>
        <family val="2"/>
      </rPr>
      <t>3</t>
    </r>
    <r>
      <rPr>
        <sz val="10"/>
        <rFont val="Arial"/>
        <family val="2"/>
      </rPr>
      <t xml:space="preserve"> [bv] = [bulk volume] </t>
    </r>
  </si>
  <si>
    <t>m³ [scu]</t>
  </si>
  <si>
    <t>m³  [bv]</t>
  </si>
  <si>
    <t>PJ</t>
  </si>
  <si>
    <t>Finland</t>
  </si>
  <si>
    <t>n.s</t>
  </si>
  <si>
    <t>n.a.</t>
  </si>
  <si>
    <t>n.s.</t>
  </si>
  <si>
    <t>n.a</t>
  </si>
  <si>
    <t>Norway</t>
  </si>
  <si>
    <t>Country</t>
  </si>
  <si>
    <t>Responsible</t>
  </si>
  <si>
    <t>untreated [t/a]</t>
  </si>
  <si>
    <t>untreated [m³/a]</t>
  </si>
  <si>
    <t>treated [t/a]</t>
  </si>
  <si>
    <t>treated [m³/a]</t>
  </si>
  <si>
    <t>contaminated [t/a]</t>
  </si>
  <si>
    <t>contaminated [m³/a]</t>
  </si>
  <si>
    <t>hazardous [t/a]</t>
  </si>
  <si>
    <t>hazardous [m³/a]</t>
  </si>
  <si>
    <t>not specified [t/a]</t>
  </si>
  <si>
    <t>not specified [m³/a]</t>
  </si>
  <si>
    <t>Imported [t/a]</t>
  </si>
  <si>
    <t>recovered wood total sum [t/a]</t>
  </si>
  <si>
    <t>recovered wood total sum [m³/a]</t>
  </si>
  <si>
    <t>Reuse</t>
  </si>
  <si>
    <t>Recycling</t>
  </si>
  <si>
    <t>Energy Generation</t>
  </si>
  <si>
    <t>Landfil</t>
  </si>
  <si>
    <t>Composting</t>
  </si>
  <si>
    <t>Others, unknown</t>
  </si>
  <si>
    <t>Sum</t>
  </si>
  <si>
    <t>estimated</t>
  </si>
  <si>
    <t>low</t>
  </si>
  <si>
    <t>high</t>
  </si>
  <si>
    <t>only Sweden</t>
  </si>
  <si>
    <t>Transfercoefficients</t>
  </si>
  <si>
    <t>[t/a]</t>
  </si>
  <si>
    <t xml:space="preserve">Austria  </t>
  </si>
  <si>
    <t>Gerfried Jungmeier</t>
  </si>
  <si>
    <t xml:space="preserve">Belgium  </t>
  </si>
  <si>
    <t>Marc van Lemput</t>
  </si>
  <si>
    <t xml:space="preserve">Bulgaria </t>
  </si>
  <si>
    <t>Genka Bluskova</t>
  </si>
  <si>
    <t xml:space="preserve">Croatia  </t>
  </si>
  <si>
    <t>Radovan Despot</t>
  </si>
  <si>
    <t xml:space="preserve">Denmark </t>
  </si>
  <si>
    <t>Iben V Christensen</t>
  </si>
  <si>
    <t xml:space="preserve">Finland </t>
  </si>
  <si>
    <t xml:space="preserve">Appu Haapio </t>
  </si>
  <si>
    <t xml:space="preserve">France  </t>
  </si>
  <si>
    <t>Deroubaix Gerard</t>
  </si>
  <si>
    <t xml:space="preserve">Germany </t>
  </si>
  <si>
    <t xml:space="preserve"> Sebatian Rüter</t>
  </si>
  <si>
    <t xml:space="preserve">Greece  </t>
  </si>
  <si>
    <t>Christos Gallis</t>
  </si>
  <si>
    <t>no data</t>
  </si>
  <si>
    <t xml:space="preserve">Hungary </t>
  </si>
  <si>
    <t xml:space="preserve">Alpár Tibor L </t>
  </si>
  <si>
    <t xml:space="preserve">Ireland  </t>
  </si>
  <si>
    <t>Picardo Valez</t>
  </si>
  <si>
    <t>Italy</t>
  </si>
  <si>
    <t xml:space="preserve">Carla Nati </t>
  </si>
  <si>
    <t xml:space="preserve">Netherlands </t>
  </si>
  <si>
    <t xml:space="preserve">Mark van Benthem </t>
  </si>
  <si>
    <t xml:space="preserve">Norway </t>
  </si>
  <si>
    <t xml:space="preserve">Jarle Savenes </t>
  </si>
  <si>
    <t xml:space="preserve">Poland  </t>
  </si>
  <si>
    <t>Wojciech Cichy</t>
  </si>
  <si>
    <t xml:space="preserve">Portugal  </t>
  </si>
  <si>
    <t>Alexandra Ribeiro</t>
  </si>
  <si>
    <t xml:space="preserve">Romania  </t>
  </si>
  <si>
    <t>Livia BUCSA, Elena BOBU</t>
  </si>
  <si>
    <t xml:space="preserve">Serbia  </t>
  </si>
  <si>
    <t>Bojan Srdjevic</t>
  </si>
  <si>
    <t xml:space="preserve">Slovenia </t>
  </si>
  <si>
    <t xml:space="preserve"> Miha Humar</t>
  </si>
  <si>
    <t xml:space="preserve">Spain  </t>
  </si>
  <si>
    <t>Genoveva Canals</t>
  </si>
  <si>
    <t xml:space="preserve">Sweden  </t>
  </si>
  <si>
    <t>Bengt Hillring &amp; Olle Olsson</t>
  </si>
  <si>
    <t>United Kingdom</t>
  </si>
  <si>
    <t xml:space="preserve"> Katie Livesey</t>
  </si>
  <si>
    <t>per capita</t>
  </si>
  <si>
    <t>t/(c*a) or m³/(c*a)</t>
  </si>
  <si>
    <t>Netherlands:</t>
  </si>
  <si>
    <t>recycling</t>
  </si>
  <si>
    <t>energy</t>
  </si>
  <si>
    <t>others</t>
  </si>
  <si>
    <t>use in nl</t>
  </si>
  <si>
    <t>use exported</t>
  </si>
  <si>
    <t>Energy Gen.</t>
  </si>
  <si>
    <t>Others, unkn.</t>
  </si>
  <si>
    <t>t/(c*a)</t>
  </si>
  <si>
    <t>Area</t>
  </si>
  <si>
    <t>Inhabitants</t>
  </si>
  <si>
    <t>GDP</t>
  </si>
  <si>
    <t>PEC</t>
  </si>
  <si>
    <t>Wood C</t>
  </si>
  <si>
    <t>Data/Year</t>
  </si>
  <si>
    <t>[km²]</t>
  </si>
  <si>
    <t>[Mio]</t>
  </si>
  <si>
    <t>[€]</t>
  </si>
  <si>
    <t>[PJ/a]</t>
  </si>
  <si>
    <t>Unit</t>
  </si>
  <si>
    <t>[Mio. t]</t>
  </si>
  <si>
    <t>Mio. m³/a</t>
  </si>
  <si>
    <t>Fac=0.5</t>
  </si>
  <si>
    <t>Mio. t</t>
  </si>
  <si>
    <t>2005 (2000 - 2003)</t>
  </si>
  <si>
    <t xml:space="preserve"> Iben V Christensen</t>
  </si>
  <si>
    <t>2004/2005</t>
  </si>
  <si>
    <t xml:space="preserve"> Hungary </t>
  </si>
  <si>
    <t xml:space="preserve"> Portugal  </t>
  </si>
  <si>
    <t>2006 (2000-2002)</t>
  </si>
  <si>
    <t>2005 (2003-2004)</t>
  </si>
  <si>
    <t>2004/05</t>
  </si>
  <si>
    <t>Pr. Een. Con</t>
  </si>
  <si>
    <t>Wood Cons.</t>
  </si>
  <si>
    <t>United King.</t>
  </si>
  <si>
    <t>Czech Republic</t>
  </si>
  <si>
    <t>Germany</t>
  </si>
  <si>
    <t>Austria</t>
  </si>
  <si>
    <t>0,04 Mtoe</t>
  </si>
  <si>
    <t>France</t>
  </si>
  <si>
    <t>Using european definition - some is included in fuelwood</t>
  </si>
  <si>
    <t>?</t>
  </si>
  <si>
    <t>neglible</t>
  </si>
  <si>
    <t>no estimate available</t>
  </si>
  <si>
    <t>most</t>
  </si>
  <si>
    <t>Included in values to left</t>
  </si>
  <si>
    <t>very small if any</t>
  </si>
  <si>
    <t>none</t>
  </si>
  <si>
    <t>small</t>
  </si>
  <si>
    <t>0?</t>
  </si>
  <si>
    <t>none by definition</t>
  </si>
  <si>
    <t>United States of America</t>
  </si>
  <si>
    <t xml:space="preserve">Remark: </t>
  </si>
  <si>
    <t>Canada</t>
  </si>
  <si>
    <t>btu</t>
  </si>
  <si>
    <t>toe</t>
  </si>
  <si>
    <t>350 odt</t>
  </si>
  <si>
    <t>330000 adt</t>
  </si>
  <si>
    <t>100000 adt</t>
  </si>
  <si>
    <t>130000adt</t>
  </si>
  <si>
    <t>included in fuelwood</t>
  </si>
  <si>
    <t>50000?</t>
  </si>
  <si>
    <t>85000 ton</t>
  </si>
  <si>
    <t>(inc in 1/2)</t>
  </si>
  <si>
    <t>(inc in 6)</t>
  </si>
  <si>
    <t>The Netherlands</t>
  </si>
  <si>
    <t>not available</t>
  </si>
  <si>
    <t>in 1 und 2 enthalten</t>
  </si>
  <si>
    <t>Switzerland</t>
  </si>
  <si>
    <t>BTU</t>
  </si>
  <si>
    <t>KJ</t>
  </si>
  <si>
    <t>kcal</t>
  </si>
  <si>
    <t>Toe</t>
  </si>
  <si>
    <t>Fill in the yellow fields</t>
  </si>
  <si>
    <t xml:space="preserve"> ==&gt;</t>
  </si>
  <si>
    <t xml:space="preserve"> &lt;==</t>
  </si>
  <si>
    <t>-</t>
  </si>
  <si>
    <t>Lithuania</t>
  </si>
  <si>
    <t>Slovenia</t>
  </si>
  <si>
    <r>
      <t xml:space="preserve">Remark: </t>
    </r>
    <r>
      <rPr>
        <sz val="14"/>
        <rFont val="Times New Roman"/>
        <family val="1"/>
      </rPr>
      <t xml:space="preserve">Missing information on bark use and recovered wood. Wood fuel sources and consumption  seems to be derived from different sources as the consumption exceeds production. </t>
    </r>
  </si>
  <si>
    <t>Cyprus</t>
  </si>
  <si>
    <t>Netherlands</t>
  </si>
  <si>
    <t>USA</t>
  </si>
  <si>
    <t>1000m3</t>
  </si>
  <si>
    <t>Total Northern America</t>
  </si>
  <si>
    <t>Spain</t>
  </si>
  <si>
    <t>Portugal</t>
  </si>
  <si>
    <t>Ireland</t>
  </si>
  <si>
    <t>Denmark</t>
  </si>
  <si>
    <t>Poland</t>
  </si>
  <si>
    <t>Slovakia</t>
  </si>
  <si>
    <t>Estonia</t>
  </si>
  <si>
    <t>Latvia</t>
  </si>
  <si>
    <t>Luxembourg</t>
  </si>
  <si>
    <t>Romania</t>
  </si>
  <si>
    <t>Bulgaria</t>
  </si>
  <si>
    <r>
      <t xml:space="preserve">Remark: </t>
    </r>
    <r>
      <rPr>
        <sz val="14"/>
        <rFont val="Times New Roman"/>
        <family val="1"/>
      </rPr>
      <t>The storm in 2004 affected strongly the roudwood harvested. The Wood used foe energy purposed could not respond as fast and the percentage decreased in the folloiwing . Black Liquor is reported as a commercial wood energy carrier.</t>
    </r>
  </si>
  <si>
    <t>1. We did not make any difference between Coniferous and Nonconiferous wood</t>
  </si>
  <si>
    <r>
      <t xml:space="preserve">Remark: </t>
    </r>
    <r>
      <rPr>
        <sz val="14"/>
        <rFont val="Times New Roman"/>
        <family val="1"/>
      </rPr>
      <t xml:space="preserve">Particularities in Switzerland are the lack of wood processing plants and a resulting high volume of exported roundwood which diminishes the amount of  Roundwood available. The import of primary industrial residues which are used to about 1/3 for energy purposes additionally distors the balance. the black liquor was derived from chemical pulp production.   </t>
    </r>
  </si>
  <si>
    <t xml:space="preserve">CHEMICAL WOODPULP - PATE DE BOIS CHIMIQUE </t>
  </si>
  <si>
    <t>(total)</t>
  </si>
  <si>
    <t>Production</t>
  </si>
  <si>
    <t>Imports - Importations</t>
  </si>
  <si>
    <t>Exports - Exportations</t>
  </si>
  <si>
    <t>1000 m.t. (air-dry weight) - 1000 t.m. (poids sec à l'air)</t>
  </si>
  <si>
    <t>Albania</t>
  </si>
  <si>
    <t/>
  </si>
  <si>
    <t>…</t>
  </si>
  <si>
    <t>Belgium</t>
  </si>
  <si>
    <t>Bosnia and Herzegovina</t>
  </si>
  <si>
    <t>Croatia</t>
  </si>
  <si>
    <t>Greece</t>
  </si>
  <si>
    <t>Hungary</t>
  </si>
  <si>
    <t>Iceland</t>
  </si>
  <si>
    <t>Israel</t>
  </si>
  <si>
    <t>Malta</t>
  </si>
  <si>
    <t>Serbia and Montenegro</t>
  </si>
  <si>
    <t>The fYR of Macedonia</t>
  </si>
  <si>
    <t>Turkey</t>
  </si>
  <si>
    <t>European Union (25)</t>
  </si>
  <si>
    <t>Europe</t>
  </si>
  <si>
    <t>Armenia</t>
  </si>
  <si>
    <t>Azerbaijan</t>
  </si>
  <si>
    <t>Belarus</t>
  </si>
  <si>
    <t>Georgia</t>
  </si>
  <si>
    <t>Kazakhstan</t>
  </si>
  <si>
    <t>Kyrgyzstan</t>
  </si>
  <si>
    <t>Republic of Moldova</t>
  </si>
  <si>
    <t>Russian Federation</t>
  </si>
  <si>
    <t>Ukraine</t>
  </si>
  <si>
    <t>Uzbekistan</t>
  </si>
  <si>
    <t>C.I.S.</t>
  </si>
  <si>
    <t>North America</t>
  </si>
  <si>
    <t>traditional fuelwood m3</t>
  </si>
  <si>
    <t>Wood energy in roundwood equivalent per capita</t>
  </si>
  <si>
    <t>traditional fuelwood v.s. energy generation</t>
  </si>
  <si>
    <t>Black liqor and energy generation is not too clear in some countries. Some of the energy generation was entered into the commercial use. In these cases we assumed that the energy is being used internally (Sweden, Finland)</t>
  </si>
  <si>
    <t>Conversion factors</t>
  </si>
  <si>
    <t xml:space="preserve"> = </t>
  </si>
  <si>
    <t>Pellets</t>
  </si>
  <si>
    <t>m³</t>
  </si>
  <si>
    <t>Roundwood equivalent</t>
  </si>
  <si>
    <t>Bark bulk volume</t>
  </si>
  <si>
    <t>m²</t>
  </si>
  <si>
    <t>Wood airdry</t>
  </si>
  <si>
    <t>Total wood energy generation Roundwood equivalent m3 per inhabitant</t>
  </si>
  <si>
    <t>Total volumes (m³) of roundwood available (annually)</t>
  </si>
  <si>
    <t>t chem. Pulp produced</t>
  </si>
  <si>
    <t>t byproduct</t>
  </si>
  <si>
    <t>EFSOS page 59 : the production of one ton chemical pulp requires min. 4,48 m³ roundwood</t>
  </si>
  <si>
    <t>Sum (U1+U2+U3)</t>
  </si>
  <si>
    <t>Sum (S1+S2+S3)</t>
  </si>
  <si>
    <r>
      <t xml:space="preserve">Remark: </t>
    </r>
    <r>
      <rPr>
        <sz val="14"/>
        <rFont val="Times New Roman"/>
        <family val="1"/>
      </rPr>
      <t>Weak private wood energy figures! No information about recovered wood</t>
    </r>
  </si>
  <si>
    <r>
      <t xml:space="preserve">Remark: </t>
    </r>
    <r>
      <rPr>
        <sz val="14"/>
        <rFont val="Times New Roman"/>
        <family val="1"/>
      </rPr>
      <t>No chemical wood pulp and very low volume of wood fuel use by private households. It is unclear what happens with the 800000 m3 of primary wood residues. Very weak figures on private household energy use directly from the forest.</t>
    </r>
  </si>
  <si>
    <t>Mtoe</t>
  </si>
  <si>
    <t>Eurobserver</t>
  </si>
  <si>
    <t>ECE/Eurobserver</t>
  </si>
  <si>
    <t>JWEE Energy equivalent (Mtoe)</t>
  </si>
  <si>
    <t>Eurobserver wood energy barometer (Mtoe)</t>
  </si>
  <si>
    <t>traditional fuelwood v.s. total wood equivalent</t>
  </si>
  <si>
    <t>traditional fuelwoodper capita (m3)</t>
  </si>
  <si>
    <t>Total wood energy per capita 
(m3 roundwood equivalent)</t>
  </si>
  <si>
    <t>ECE/ Eurobserver
(%)</t>
  </si>
  <si>
    <t>JWEE:
Total
Wood energy
(Mtoe)</t>
  </si>
  <si>
    <t>Calculation:
Wood energy / dom. supply renewables and waste</t>
  </si>
  <si>
    <t>IEA (2003):
Electricity and heat generation
from renewables and waste (Mtoe)</t>
  </si>
  <si>
    <t>IEA (2003):
Domestic supply
(Mtoe)</t>
  </si>
  <si>
    <r>
      <t>Power and Heat:</t>
    </r>
    <r>
      <rPr>
        <sz val="12"/>
        <rFont val="Arial"/>
        <family val="0"/>
      </rPr>
      <t xml:space="preserve">
The United Kingdom and the Netherlandy as countries with a small resource and a high rate of imported volumes show significant use of wood for energy generation in commercial heating facilities. Slovenia, Czech Republic and France show very low use of wood in commercial energy generation. In France the nuclear power policy might explain why wood energy on a commercial basis is almost not established. 
</t>
    </r>
    <r>
      <rPr>
        <b/>
        <sz val="12"/>
        <rFont val="Arial"/>
        <family val="2"/>
      </rPr>
      <t>Indirect use of wood for energy generation:</t>
    </r>
    <r>
      <rPr>
        <sz val="12"/>
        <rFont val="Arial"/>
        <family val="0"/>
      </rPr>
      <t xml:space="preserve">
Canada, Sweden and Finland conirm the expected scheme that wood energy is mostly used internally by the important forest based industries after teh primary and/or secondary processing.. Switzerland, NL and the UK have less developped wood processing industries and in consequence a relatively less important use of indirect wood energy.
</t>
    </r>
    <r>
      <rPr>
        <b/>
        <sz val="12"/>
        <rFont val="Arial"/>
        <family val="2"/>
      </rPr>
      <t>Direct wood fuel:</t>
    </r>
    <r>
      <rPr>
        <sz val="12"/>
        <rFont val="Arial"/>
        <family val="0"/>
      </rPr>
      <t xml:space="preserve">
In many countries the consumption of wood energy represents a major part in the energy generation. Exceptional is the situation in France, where wood energy is still extremely important in the energy supply to private households. Czech Republic, Slovenia and Lithuania have a high percentage of direct wood fuel use by private households, too.</t>
    </r>
  </si>
  <si>
    <t>Total Europe</t>
  </si>
  <si>
    <t>Total JWEE</t>
  </si>
  <si>
    <t>ROUNDWOOD - BOIS RONDS</t>
  </si>
  <si>
    <t>Consumption - Consommation</t>
  </si>
  <si>
    <t>1000 m3(r)</t>
  </si>
  <si>
    <t>1000 US $</t>
  </si>
  <si>
    <t>Liechtenstein</t>
  </si>
  <si>
    <t>Turkmenistan</t>
  </si>
  <si>
    <t>United States</t>
  </si>
  <si>
    <t>JFSQ roundwood consumption</t>
  </si>
  <si>
    <t>Northern America</t>
  </si>
  <si>
    <t>IEA:
Total Primary Energy Supply
(Mtoe)</t>
  </si>
  <si>
    <t>Calculation:Wood energy in the national energy supply</t>
  </si>
  <si>
    <t>S1</t>
  </si>
  <si>
    <t>S2</t>
  </si>
  <si>
    <t>S3</t>
  </si>
  <si>
    <t>EUROPE</t>
  </si>
  <si>
    <t>Countries available</t>
  </si>
  <si>
    <t>U1 power and heat</t>
  </si>
  <si>
    <t>U2 Industry</t>
  </si>
  <si>
    <t>U3 Private</t>
  </si>
  <si>
    <t>Wood energy in TPES (%)</t>
  </si>
  <si>
    <t>Total primary energy supply TPES (Mtoe)</t>
  </si>
  <si>
    <t>Estimated Energy content (Mtoe)</t>
  </si>
  <si>
    <t>Total roundwood available</t>
  </si>
  <si>
    <t>Black Liquor</t>
  </si>
  <si>
    <t xml:space="preserve">Total JFSQ EUROPE </t>
  </si>
  <si>
    <t>JWEE 2006</t>
  </si>
  <si>
    <t>REMOVALS OF ROUNDWOOD - QUANTITES ENLEVEES DE BOIS RONDS</t>
  </si>
  <si>
    <t>Coniferous - Conifères</t>
  </si>
  <si>
    <t>Non-coniferous - Non-conifères</t>
  </si>
  <si>
    <t>JWEE/ECE</t>
  </si>
  <si>
    <t>JWEE</t>
  </si>
  <si>
    <t>UNECE</t>
  </si>
  <si>
    <t>JWEE EU25/EU25</t>
  </si>
  <si>
    <t>UNECE Total</t>
  </si>
  <si>
    <t>UNECE covered by JWEE</t>
  </si>
  <si>
    <t>North America covered by JWEE</t>
  </si>
  <si>
    <t>Secondary industrial residues</t>
  </si>
  <si>
    <t>Million m3</t>
  </si>
  <si>
    <t xml:space="preserve">Total Roundwood Removals 
(JFSQ 2004)
</t>
  </si>
  <si>
    <t>Roundwood equivalent used for energy generation 
(JWEE)</t>
  </si>
  <si>
    <t>Use of wood for energy generation
(based on JWEE)</t>
  </si>
  <si>
    <t>Total Roundwood Consumption
(JFSQ 2004)</t>
  </si>
  <si>
    <t>Europe covered by JWEE</t>
  </si>
  <si>
    <t>Total Roundwood available (Consumption)
(JWEE)</t>
  </si>
  <si>
    <t>Europe covered by JWEE (%)</t>
  </si>
  <si>
    <t>European Union (25) covered by JWEE (%)</t>
  </si>
  <si>
    <t>Total volumes (thousand m³) of roundwood available (annually)</t>
  </si>
  <si>
    <t>Wood equivalent for energy (thousand m3)</t>
  </si>
  <si>
    <t>1000 m³</t>
  </si>
  <si>
    <t xml:space="preserve">JWEE total </t>
  </si>
  <si>
    <t>1.000.000 m³</t>
  </si>
  <si>
    <t>Roundwood equivalent for energy generation 
(JWEE)</t>
  </si>
  <si>
    <t>Energy use as % of roundwood consumption 
(JWEE)</t>
  </si>
  <si>
    <t>Wood energy's role for the Total Primary Energy Supply (TPES)</t>
  </si>
  <si>
    <t>Roundwood
Consumption 
(JWEE)</t>
  </si>
  <si>
    <t>!!!Ton dry matter !!!</t>
  </si>
  <si>
    <t>Finland: 0,35 sm³/m³ bv</t>
  </si>
  <si>
    <t>m3</t>
  </si>
  <si>
    <t>m³ equivalent</t>
  </si>
  <si>
    <t>Most data for 2003</t>
  </si>
  <si>
    <t>m³  [sv]</t>
  </si>
  <si>
    <t>U1</t>
  </si>
  <si>
    <t>U2</t>
  </si>
  <si>
    <t>U3</t>
  </si>
  <si>
    <t>SUM</t>
  </si>
  <si>
    <t xml:space="preserve">U1 </t>
  </si>
  <si>
    <t>Share of roundwood consumption of countries replying to JWEE</t>
  </si>
  <si>
    <t>M m³ [scu]</t>
  </si>
  <si>
    <t>unknown</t>
  </si>
  <si>
    <t>traded together with post-consumer wood</t>
  </si>
  <si>
    <t>M t oven dry</t>
  </si>
  <si>
    <t>unknown, not traded respectively</t>
  </si>
  <si>
    <t>M t air dry</t>
  </si>
  <si>
    <t>M m³  [bv]</t>
  </si>
  <si>
    <t xml:space="preserve">2 Assenmacher/Ormont </t>
  </si>
  <si>
    <t xml:space="preserve">4 Westerwälder/Langenbach </t>
  </si>
  <si>
    <t xml:space="preserve">5 Trocknungsgenossenschaft/Neuhof an der Zenn </t>
  </si>
  <si>
    <t>6 CompacTec/Straubing</t>
  </si>
  <si>
    <t>7 Pellino’s Holzpellets/Hallbach</t>
  </si>
  <si>
    <t xml:space="preserve">8 FireStixx/Regen </t>
  </si>
  <si>
    <t xml:space="preserve">9 Ante-Holz/Bromskirchen-Somplar </t>
  </si>
  <si>
    <t xml:space="preserve">10 Holzenergie Klaus Fallert/Appenweier </t>
  </si>
  <si>
    <t xml:space="preserve">13 Trocknungsgenossenschaft Weissenburg/Ellingen </t>
  </si>
  <si>
    <t xml:space="preserve">14 Lockfi sch/Bobingen </t>
  </si>
  <si>
    <t xml:space="preserve">16 Schellinger &amp; Co Mühlenwerke/Weingarten </t>
  </si>
  <si>
    <t xml:space="preserve">17 Gregor Ziegler GmbH/Plössberg </t>
  </si>
  <si>
    <t xml:space="preserve">18 Horst Römer/Emskirchen </t>
  </si>
  <si>
    <t xml:space="preserve">19 Neue Energie Gesellschaft mbH/Grossenhain </t>
  </si>
  <si>
    <t xml:space="preserve">20 BSVG/Grossdubrau </t>
  </si>
  <si>
    <t>2004 (30 % growth rate assumed)</t>
  </si>
  <si>
    <r>
      <t xml:space="preserve">energy uses </t>
    </r>
    <r>
      <rPr>
        <b/>
        <sz val="10"/>
        <color indexed="10"/>
        <rFont val="Arial"/>
        <family val="2"/>
      </rPr>
      <t>(no distinction possible concerning commercial and direct energy use!)</t>
    </r>
  </si>
  <si>
    <t>wood  for energy production</t>
  </si>
  <si>
    <t>large BPHP (&gt;1 MW)</t>
  </si>
  <si>
    <t>small BPHP (&lt;1 MW)</t>
  </si>
  <si>
    <t>Germany (revised)</t>
  </si>
  <si>
    <t>France (revised)</t>
  </si>
  <si>
    <t>Wood for energy generation per capita</t>
  </si>
  <si>
    <t>Inhabitants per km²</t>
  </si>
  <si>
    <t>S2/capita</t>
  </si>
  <si>
    <t>M³ scm</t>
  </si>
  <si>
    <t>km²</t>
  </si>
  <si>
    <t>Population density</t>
  </si>
  <si>
    <t>Area per inhabitant</t>
  </si>
  <si>
    <t>Woodfuel per capita</t>
  </si>
  <si>
    <t>Supply Group III: High population density, special policies on wood energy/restriction on landfill</t>
  </si>
  <si>
    <t>Supply Group II: All major wood producing countries have in common that the indirect supply is the most important source for wood energy (&gt;2/3 or 66%). Lithuania is about to enter the IInd group, Austria has a twofold supply structure.</t>
  </si>
  <si>
    <t xml:space="preserve">Supply Group I: Countries with high amount of wood energy directly from the forest (around 50% or higher). All these countires have in common that they have an abondant forest resource, important rural areas often in combination with a low population density. </t>
  </si>
  <si>
    <t>Sum t</t>
  </si>
  <si>
    <t>Sum m³</t>
  </si>
  <si>
    <t>YEAR: 2004/2005</t>
  </si>
  <si>
    <t>Remark: In the provideed data the Bark volumes were quite high and we used the Finish conversion factor of 0,35 solid m³ / m³ bulk volume.</t>
  </si>
  <si>
    <t>(UBET page 26)</t>
  </si>
  <si>
    <t>(UBET assumes 2,27 cum per ton chemical wood pulp)</t>
  </si>
  <si>
    <t xml:space="preserve">Energy content: </t>
  </si>
  <si>
    <t>(assumption 25% humidity)</t>
  </si>
  <si>
    <t xml:space="preserve"> =</t>
  </si>
  <si>
    <t>GJ/ton</t>
  </si>
  <si>
    <t>Remark:</t>
  </si>
  <si>
    <t>chem pulp tons</t>
  </si>
  <si>
    <r>
      <t xml:space="preserve">Remark: </t>
    </r>
    <r>
      <rPr>
        <sz val="14"/>
        <rFont val="Times New Roman"/>
        <family val="1"/>
      </rPr>
      <t>Important role of amenity trees</t>
    </r>
  </si>
  <si>
    <t>Wood oven dry</t>
  </si>
  <si>
    <r>
      <t xml:space="preserve">Remark: </t>
    </r>
    <r>
      <rPr>
        <sz val="14"/>
        <rFont val="Times New Roman"/>
        <family val="1"/>
      </rPr>
      <t>The import of 440 thousand tons pellets (about 850000 m3 roundwood equivalent), 300 thousand m3 primary industrial residues and the import of 57 thousand tons of charcoal (corresponding roundwood equivalent of about 340 thousand m3) may give an exlplanation why wood used for energy generation is twice the volume of the production.</t>
    </r>
  </si>
  <si>
    <r>
      <t xml:space="preserve">Remark: </t>
    </r>
    <r>
      <rPr>
        <sz val="14"/>
        <rFont val="Times New Roman"/>
        <family val="1"/>
      </rPr>
      <t>The black liquor is highly underestimated, as the reported figures contained information on tons of blak liquor (727000 tons)</t>
    </r>
  </si>
  <si>
    <t xml:space="preserve">Bark: Based on the UBET we assumed that the bulk volume of bark is about 0,2 tons / m3 </t>
  </si>
  <si>
    <t>Table of contents:</t>
  </si>
  <si>
    <t>This interactive chart is the ready made layout structure to provide an overview per country or per subregion.</t>
  </si>
  <si>
    <t>1. Summary Tables:</t>
  </si>
  <si>
    <t xml:space="preserve"> - Interactive chart:</t>
  </si>
  <si>
    <t xml:space="preserve"> - Overview user:</t>
  </si>
  <si>
    <t xml:space="preserve"> - Table user:</t>
  </si>
  <si>
    <t xml:space="preserve"> - Overview sources:</t>
  </si>
  <si>
    <t xml:space="preserve"> - Table sources:</t>
  </si>
  <si>
    <t>This chart compares visually the different sources of wood energy per country</t>
  </si>
  <si>
    <t>This chart compares visually the different user of wood energy per country</t>
  </si>
  <si>
    <t xml:space="preserve"> - Wood Energy vs. TPES: </t>
  </si>
  <si>
    <t xml:space="preserve"> - Pellets per country:</t>
  </si>
  <si>
    <t>This overview table on pellet production and trade was prepared for the World Sustainable Energy Days (WSED) 2007.</t>
  </si>
  <si>
    <t>2. Individual country tables:</t>
  </si>
  <si>
    <t xml:space="preserve"> - JWEE filled fields</t>
  </si>
  <si>
    <t>3. External Sources</t>
  </si>
  <si>
    <t>These tables and charts provide an overview based on aggregate data and assumptions.</t>
  </si>
  <si>
    <t>The external sources were partly used to provide data on originally missing flows.</t>
  </si>
  <si>
    <t xml:space="preserve">   Europe</t>
  </si>
  <si>
    <t xml:space="preserve">   North America</t>
  </si>
  <si>
    <t xml:space="preserve"> - JFSQ p1</t>
  </si>
  <si>
    <t xml:space="preserve"> - JFSQ p3</t>
  </si>
  <si>
    <t xml:space="preserve"> - JFSQ p70</t>
  </si>
  <si>
    <t xml:space="preserve"> - post consumer wood E31</t>
  </si>
  <si>
    <t xml:space="preserve"> - Country Spec. Data COST E31</t>
  </si>
  <si>
    <t xml:space="preserve"> - Eurobserver 2005</t>
  </si>
  <si>
    <t>Roundwood removals. Joint Forest Sector Questionnaire 2005.</t>
  </si>
  <si>
    <t>Consumption, import and export of roundwood. Joint Forest Sector Questionnaire 2005.</t>
  </si>
  <si>
    <t>Production, import and export of chemical pulp. Joint Forest Sector Questionnaire 2005.</t>
  </si>
  <si>
    <t>Country specific indicators on population etc. for further assessment</t>
  </si>
  <si>
    <t>Increase</t>
  </si>
  <si>
    <t>2 Black liquor was missing in some countires. In these cases we derived the energy generated from this by product of the chemical pulp production by using the chemical pup procuction, assuming that about 20 % of the final production end up as black liquor.</t>
  </si>
  <si>
    <t>General assumptions made for the evaluation:</t>
  </si>
  <si>
    <t xml:space="preserve"> - Assumptions: </t>
  </si>
  <si>
    <t>Remark: In Germany it was not possible to make a distinction between internally used energy and externally sold energy. Therefore the energy sector looks more important that it actually is.</t>
  </si>
  <si>
    <t>This Excel-file is meant to provide the participants of the Joint Working Party on Forest Economics and Statistics 2007 an insight into the datastructure and assumptions of the Joint Wood Energy Enquiry. Participants are invited to check again the national and overview data.</t>
  </si>
  <si>
    <t>This worksheet gives an overview of the assumptions made to convert the different units to m³ roundwood equivalent or to energy units (toe - Tons of oil equivalent).</t>
  </si>
  <si>
    <t>This table shows all national data on sources of wood energy in one table</t>
  </si>
  <si>
    <t>This table shows all national data on users of wood energy in one table</t>
  </si>
  <si>
    <t>Data on wood energy in the member countries, published by Eurobserver 2005 (http://www.energies-renouvelables.org/observ-er/stat_baro/observ/baro169.pdf )</t>
  </si>
  <si>
    <t>[1 000 m3]</t>
  </si>
  <si>
    <t xml:space="preserve">     ...of which wood energy directly from the forest (thousand m3)</t>
  </si>
  <si>
    <t xml:space="preserve">     ... of which black liquor 
(thousand m3 roundwood equivalent)</t>
  </si>
  <si>
    <t xml:space="preserve">In Europe and in Northern America the theoretical wood volume in roundwood equivalent for energy generation is approximately 0.7 m3 per capita and per year. The role of fuelwood and the use pattern is differing among the two subregions. 
In Europe about 43% of the wood energy is produced and used in the traditional fuelwood pattern, whereas in Northern America direct wood energy produced in private households acounts for only 26% of the total wood energy generation.
An extrapolation of these figures suggests that in Europe 25 wood energy accounted for at least 52 Mtoe - which corresponds well with the overall estimate of the EurobservER. The big advantage of the JWEE is that we now can see the different supply and use/production patterns of wood energy in the different countries. </t>
  </si>
  <si>
    <t>source: JWEE and OECD/IEA Energy Statistics</t>
  </si>
  <si>
    <t>This chart compares wood energy generation with the Total Primary Energy Supply in the different countries.</t>
  </si>
  <si>
    <t>mt</t>
  </si>
  <si>
    <t xml:space="preserve">   Note: 0 or 0% indicates data are not available</t>
  </si>
  <si>
    <t xml:space="preserve">   Note: 0 indicates data are not available</t>
  </si>
  <si>
    <t>domestic production *)</t>
  </si>
  <si>
    <t xml:space="preserve">
import </t>
  </si>
  <si>
    <t xml:space="preserve">
export  </t>
  </si>
  <si>
    <t xml:space="preserve">This table indicates the number of responses per cell in the Joint Wood Energy Enquiry (JWEE). </t>
  </si>
  <si>
    <t>The country tables contain the original data structure as provided by the national correspondents and show in detail how the different sources and users were aggregated into the output scheme.</t>
  </si>
  <si>
    <t>...of which wood energy directly from the forest</t>
  </si>
  <si>
    <t>... of which black liquor (m3 roundwood equivalent)</t>
  </si>
  <si>
    <t>Table containing still-confidential experts estimates on post consumer recovered wood per country.</t>
  </si>
  <si>
    <t>Please note that data on this page are confidential and should not be released until the COST E31 final conference in May 2, 2007</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</si>
</sst>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
    <numFmt numFmtId="174" formatCode="0.000\ "/>
    <numFmt numFmtId="175" formatCode="0.0%"/>
    <numFmt numFmtId="176" formatCode="_-* #,##0\ _D_M_-;\-* #,##0\ _D_M_-;_-* &quot;-&quot;??\ _D_M_-;_-@_-"/>
    <numFmt numFmtId="177" formatCode="_-* #,##0.00\ _D_M_-;\-* #,##0.00\ _D_M_-;_-* &quot;-&quot;??\ _D_M_-;_-@_-"/>
    <numFmt numFmtId="178" formatCode="_-* #,##0.0000\ _D_M_-;\-* #,##0.0000\ _D_M_-;_-* &quot;-&quot;??\ _D_M_-;_-@_-"/>
    <numFmt numFmtId="179" formatCode="0_)"/>
    <numFmt numFmtId="180" formatCode="__@"/>
    <numFmt numFmtId="181" formatCode="\ @"/>
    <numFmt numFmtId="182" formatCode="#,##0____"/>
    <numFmt numFmtId="183" formatCode="______@"/>
    <numFmt numFmtId="184" formatCode="______0%____"/>
    <numFmt numFmtId="185" formatCode="0______"/>
    <numFmt numFmtId="186" formatCode="0.00______"/>
    <numFmt numFmtId="187" formatCode="#,##0______"/>
    <numFmt numFmtId="188" formatCode="0%______"/>
    <numFmt numFmtId="189" formatCode="0.0%____"/>
    <numFmt numFmtId="190" formatCode="0%____"/>
    <numFmt numFmtId="191" formatCode="0.0%______"/>
    <numFmt numFmtId="192" formatCode="0.0"/>
    <numFmt numFmtId="193" formatCode="0\ "/>
    <numFmt numFmtId="194" formatCode="&quot;Ja&quot;;&quot;Ja&quot;;&quot;Nein&quot;"/>
    <numFmt numFmtId="195" formatCode="&quot;Wahr&quot;;&quot;Wahr&quot;;&quot;Falsch&quot;"/>
    <numFmt numFmtId="196" formatCode="&quot;Ein&quot;;&quot;Ein&quot;;&quot;Aus&quot;"/>
    <numFmt numFmtId="197" formatCode="[$€-2]\ #,##0.00_);[Red]\([$€-2]\ #,##0.00\)"/>
    <numFmt numFmtId="198" formatCode="0.000"/>
    <numFmt numFmtId="199" formatCode="#,##0\ &quot;F&quot;;\-#,##0\ &quot;F&quot;"/>
    <numFmt numFmtId="200" formatCode="#,##0\ &quot;F&quot;;[Red]\-#,##0\ &quot;F&quot;"/>
    <numFmt numFmtId="201" formatCode="#,##0.00\ &quot;F&quot;;\-#,##0.00\ &quot;F&quot;"/>
    <numFmt numFmtId="202" formatCode="#,##0.00\ &quot;F&quot;;[Red]\-#,##0.00\ &quot;F&quot;"/>
    <numFmt numFmtId="203" formatCode="_-* #,##0\ &quot;F&quot;_-;\-* #,##0\ &quot;F&quot;_-;_-* &quot;-&quot;\ &quot;F&quot;_-;_-@_-"/>
    <numFmt numFmtId="204" formatCode="_-* #,##0\ _F_-;\-* #,##0\ _F_-;_-* &quot;-&quot;\ _F_-;_-@_-"/>
    <numFmt numFmtId="205" formatCode="_-* #,##0.00\ &quot;F&quot;_-;\-* #,##0.00\ &quot;F&quot;_-;_-* &quot;-&quot;??\ &quot;F&quot;_-;_-@_-"/>
    <numFmt numFmtId="206" formatCode="_-* #,##0.00\ _F_-;\-* #,##0.00\ _F_-;_-* &quot;-&quot;??\ _F_-;_-@_-"/>
  </numFmts>
  <fonts count="77">
    <font>
      <sz val="10"/>
      <name val="Arial"/>
      <family val="0"/>
    </font>
    <font>
      <u val="single"/>
      <sz val="10"/>
      <color indexed="36"/>
      <name val="Arial"/>
      <family val="0"/>
    </font>
    <font>
      <u val="single"/>
      <sz val="10"/>
      <color indexed="12"/>
      <name val="Arial"/>
      <family val="0"/>
    </font>
    <font>
      <sz val="11"/>
      <name val="Arial"/>
      <family val="0"/>
    </font>
    <font>
      <sz val="10"/>
      <name val="Times New Roman"/>
      <family val="1"/>
    </font>
    <font>
      <b/>
      <sz val="14"/>
      <name val="Times New Roman"/>
      <family val="1"/>
    </font>
    <font>
      <sz val="14"/>
      <name val="Arial"/>
      <family val="2"/>
    </font>
    <font>
      <b/>
      <u val="single"/>
      <sz val="20"/>
      <color indexed="12"/>
      <name val="Arial"/>
      <family val="2"/>
    </font>
    <font>
      <sz val="20"/>
      <name val="Arial"/>
      <family val="2"/>
    </font>
    <font>
      <b/>
      <u val="single"/>
      <sz val="18"/>
      <color indexed="12"/>
      <name val="Arial"/>
      <family val="2"/>
    </font>
    <font>
      <b/>
      <sz val="10"/>
      <color indexed="12"/>
      <name val="Arial"/>
      <family val="2"/>
    </font>
    <font>
      <b/>
      <sz val="14"/>
      <name val="Arial"/>
      <family val="2"/>
    </font>
    <font>
      <b/>
      <sz val="18"/>
      <name val="Arial"/>
      <family val="2"/>
    </font>
    <font>
      <b/>
      <sz val="16"/>
      <name val="Arial"/>
      <family val="2"/>
    </font>
    <font>
      <b/>
      <sz val="20"/>
      <name val="Times New Roman"/>
      <family val="1"/>
    </font>
    <font>
      <sz val="10"/>
      <color indexed="9"/>
      <name val="Arial"/>
      <family val="2"/>
    </font>
    <font>
      <sz val="12"/>
      <name val="Times New Roman"/>
      <family val="1"/>
    </font>
    <font>
      <b/>
      <sz val="10"/>
      <name val="Arial"/>
      <family val="2"/>
    </font>
    <font>
      <b/>
      <sz val="11"/>
      <name val="Times New Roman"/>
      <family val="1"/>
    </font>
    <font>
      <sz val="7.5"/>
      <name val="Arial"/>
      <family val="0"/>
    </font>
    <font>
      <sz val="11"/>
      <name val="Times New Roman"/>
      <family val="1"/>
    </font>
    <font>
      <u val="single"/>
      <sz val="10"/>
      <color indexed="10"/>
      <name val="Times New Roman"/>
      <family val="1"/>
    </font>
    <font>
      <sz val="12"/>
      <name val="Arial"/>
      <family val="2"/>
    </font>
    <font>
      <b/>
      <sz val="12"/>
      <name val="Arial"/>
      <family val="2"/>
    </font>
    <font>
      <sz val="18"/>
      <name val="Arial"/>
      <family val="2"/>
    </font>
    <font>
      <sz val="14"/>
      <name val="Times New Roman"/>
      <family val="1"/>
    </font>
    <font>
      <sz val="8"/>
      <name val="Arial"/>
      <family val="2"/>
    </font>
    <font>
      <sz val="8"/>
      <name val="Times New Roman"/>
      <family val="1"/>
    </font>
    <font>
      <vertAlign val="superscript"/>
      <sz val="10"/>
      <name val="Arial"/>
      <family val="2"/>
    </font>
    <font>
      <b/>
      <sz val="10"/>
      <name val="Times New Roman"/>
      <family val="1"/>
    </font>
    <font>
      <sz val="10"/>
      <color indexed="39"/>
      <name val="Times New Roman"/>
      <family val="1"/>
    </font>
    <font>
      <b/>
      <sz val="12"/>
      <name val="Tahoma"/>
      <family val="2"/>
    </font>
    <font>
      <sz val="12"/>
      <name val="Tahoma"/>
      <family val="2"/>
    </font>
    <font>
      <b/>
      <sz val="10"/>
      <color indexed="10"/>
      <name val="Arial"/>
      <family val="2"/>
    </font>
    <font>
      <sz val="10"/>
      <color indexed="10"/>
      <name val="Arial"/>
      <family val="2"/>
    </font>
    <font>
      <b/>
      <sz val="8"/>
      <name val="Tahoma"/>
      <family val="0"/>
    </font>
    <font>
      <sz val="8"/>
      <name val="Tahoma"/>
      <family val="0"/>
    </font>
    <font>
      <b/>
      <sz val="16"/>
      <name val="Tahoma"/>
      <family val="2"/>
    </font>
    <font>
      <sz val="16"/>
      <name val="Tahoma"/>
      <family val="2"/>
    </font>
    <font>
      <b/>
      <sz val="14"/>
      <name val="Tahoma"/>
      <family val="2"/>
    </font>
    <font>
      <sz val="14"/>
      <name val="Tahoma"/>
      <family val="2"/>
    </font>
    <font>
      <sz val="12"/>
      <name val="Arial MT"/>
      <family val="0"/>
    </font>
    <font>
      <b/>
      <sz val="14"/>
      <color indexed="9"/>
      <name val="Arial"/>
      <family val="2"/>
    </font>
    <font>
      <b/>
      <sz val="12"/>
      <color indexed="9"/>
      <name val="Arial"/>
      <family val="2"/>
    </font>
    <font>
      <sz val="12"/>
      <color indexed="9"/>
      <name val="Arial"/>
      <family val="2"/>
    </font>
    <font>
      <b/>
      <sz val="15"/>
      <name val="Arial"/>
      <family val="0"/>
    </font>
    <font>
      <sz val="10"/>
      <color indexed="11"/>
      <name val="Arial"/>
      <family val="0"/>
    </font>
    <font>
      <sz val="12"/>
      <color indexed="11"/>
      <name val="Arial"/>
      <family val="0"/>
    </font>
    <font>
      <b/>
      <sz val="15.75"/>
      <name val="Arial"/>
      <family val="2"/>
    </font>
    <font>
      <b/>
      <sz val="12"/>
      <name val="Times New Roman"/>
      <family val="1"/>
    </font>
    <font>
      <b/>
      <sz val="12"/>
      <color indexed="10"/>
      <name val="Times New Roman"/>
      <family val="1"/>
    </font>
    <font>
      <sz val="12"/>
      <color indexed="10"/>
      <name val="Arial"/>
      <family val="0"/>
    </font>
    <font>
      <b/>
      <sz val="22"/>
      <name val="Times New Roman"/>
      <family val="1"/>
    </font>
    <font>
      <sz val="3.75"/>
      <name val="Arial"/>
      <family val="0"/>
    </font>
    <font>
      <b/>
      <sz val="14.75"/>
      <name val="Arial"/>
      <family val="0"/>
    </font>
    <font>
      <sz val="4.5"/>
      <name val="Arial"/>
      <family val="0"/>
    </font>
    <font>
      <sz val="4"/>
      <name val="Arial"/>
      <family val="0"/>
    </font>
    <font>
      <sz val="10.25"/>
      <name val="Arial"/>
      <family val="0"/>
    </font>
    <font>
      <b/>
      <sz val="11"/>
      <name val="Arial"/>
      <family val="2"/>
    </font>
    <font>
      <sz val="13.25"/>
      <name val="Arial"/>
      <family val="2"/>
    </font>
    <font>
      <b/>
      <sz val="11.25"/>
      <name val="Arial"/>
      <family val="0"/>
    </font>
    <font>
      <b/>
      <sz val="4"/>
      <name val="Arial"/>
      <family val="0"/>
    </font>
    <font>
      <b/>
      <sz val="10.25"/>
      <name val="Arial"/>
      <family val="0"/>
    </font>
    <font>
      <b/>
      <sz val="12"/>
      <color indexed="10"/>
      <name val="Arial"/>
      <family val="2"/>
    </font>
    <font>
      <sz val="14.75"/>
      <name val="Arial"/>
      <family val="2"/>
    </font>
    <font>
      <sz val="6"/>
      <color indexed="10"/>
      <name val="Arial"/>
      <family val="2"/>
    </font>
    <font>
      <b/>
      <sz val="20.25"/>
      <name val="Arial"/>
      <family val="0"/>
    </font>
    <font>
      <sz val="17"/>
      <name val="Arial"/>
      <family val="0"/>
    </font>
    <font>
      <sz val="13.75"/>
      <name val="Arial"/>
      <family val="2"/>
    </font>
    <font>
      <b/>
      <sz val="20"/>
      <name val="Arial"/>
      <family val="2"/>
    </font>
    <font>
      <b/>
      <sz val="11"/>
      <color indexed="10"/>
      <name val="Arial"/>
      <family val="2"/>
    </font>
    <font>
      <sz val="13.5"/>
      <name val="Arial"/>
      <family val="2"/>
    </font>
    <font>
      <b/>
      <sz val="10"/>
      <color indexed="9"/>
      <name val="Arial"/>
      <family val="2"/>
    </font>
    <font>
      <b/>
      <sz val="26"/>
      <color indexed="9"/>
      <name val="Arial"/>
      <family val="2"/>
    </font>
    <font>
      <b/>
      <sz val="11"/>
      <color indexed="57"/>
      <name val="Times New Roman"/>
      <family val="1"/>
    </font>
    <font>
      <i/>
      <sz val="10"/>
      <name val="Arial"/>
      <family val="2"/>
    </font>
    <font>
      <b/>
      <sz val="8"/>
      <name val="Arial"/>
      <family val="2"/>
    </font>
  </fonts>
  <fills count="24">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46"/>
        <bgColor indexed="64"/>
      </patternFill>
    </fill>
    <fill>
      <patternFill patternType="solid">
        <fgColor indexed="41"/>
        <bgColor indexed="64"/>
      </patternFill>
    </fill>
    <fill>
      <patternFill patternType="solid">
        <fgColor indexed="43"/>
        <bgColor indexed="64"/>
      </patternFill>
    </fill>
    <fill>
      <patternFill patternType="darkUp">
        <fgColor indexed="51"/>
        <bgColor indexed="10"/>
      </patternFill>
    </fill>
    <fill>
      <patternFill patternType="darkUp">
        <fgColor indexed="51"/>
        <bgColor indexed="43"/>
      </patternFill>
    </fill>
    <fill>
      <patternFill patternType="solid">
        <fgColor indexed="47"/>
        <bgColor indexed="64"/>
      </patternFill>
    </fill>
    <fill>
      <patternFill patternType="solid">
        <fgColor indexed="13"/>
        <bgColor indexed="64"/>
      </patternFill>
    </fill>
    <fill>
      <patternFill patternType="darkUp">
        <fgColor indexed="51"/>
        <bgColor indexed="13"/>
      </patternFill>
    </fill>
    <fill>
      <patternFill patternType="darkUp">
        <fgColor indexed="51"/>
        <bgColor indexed="46"/>
      </patternFill>
    </fill>
    <fill>
      <patternFill patternType="darkUp">
        <fgColor indexed="51"/>
        <bgColor indexed="42"/>
      </patternFill>
    </fill>
    <fill>
      <patternFill patternType="solid">
        <fgColor indexed="44"/>
        <bgColor indexed="64"/>
      </patternFill>
    </fill>
    <fill>
      <patternFill patternType="solid">
        <fgColor indexed="45"/>
        <bgColor indexed="64"/>
      </patternFill>
    </fill>
    <fill>
      <patternFill patternType="solid">
        <fgColor indexed="8"/>
        <bgColor indexed="64"/>
      </patternFill>
    </fill>
    <fill>
      <patternFill patternType="solid">
        <fgColor indexed="11"/>
        <bgColor indexed="64"/>
      </patternFill>
    </fill>
    <fill>
      <patternFill patternType="solid">
        <fgColor indexed="42"/>
        <bgColor indexed="64"/>
      </patternFill>
    </fill>
    <fill>
      <patternFill patternType="darkVertical">
        <fgColor indexed="14"/>
        <bgColor indexed="40"/>
      </patternFill>
    </fill>
    <fill>
      <patternFill patternType="solid">
        <fgColor indexed="51"/>
        <bgColor indexed="64"/>
      </patternFill>
    </fill>
    <fill>
      <patternFill patternType="solid">
        <fgColor indexed="21"/>
        <bgColor indexed="64"/>
      </patternFill>
    </fill>
    <fill>
      <patternFill patternType="solid">
        <fgColor indexed="12"/>
        <bgColor indexed="64"/>
      </patternFill>
    </fill>
    <fill>
      <patternFill patternType="solid">
        <fgColor indexed="22"/>
        <bgColor indexed="64"/>
      </patternFill>
    </fill>
  </fills>
  <borders count="283">
    <border>
      <left/>
      <right/>
      <top/>
      <bottom/>
      <diagonal/>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thin"/>
      <right style="thin"/>
      <top style="hair"/>
      <bottom>
        <color indexed="63"/>
      </bottom>
    </border>
    <border>
      <left style="medium"/>
      <right style="medium"/>
      <top style="medium"/>
      <bottom style="medium"/>
    </border>
    <border>
      <left style="thin"/>
      <right style="medium"/>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mediumDashed"/>
      <right style="medium"/>
      <top style="hair"/>
      <bottom>
        <color indexed="63"/>
      </bottom>
    </border>
    <border>
      <left style="medium"/>
      <right>
        <color indexed="63"/>
      </right>
      <top style="hair"/>
      <bottom>
        <color indexed="63"/>
      </bottom>
    </border>
    <border>
      <left style="thin"/>
      <right>
        <color indexed="63"/>
      </right>
      <top style="hair"/>
      <bottom>
        <color indexed="63"/>
      </bottom>
    </border>
    <border>
      <left>
        <color indexed="63"/>
      </left>
      <right>
        <color indexed="63"/>
      </right>
      <top>
        <color indexed="63"/>
      </top>
      <bottom style="medium"/>
    </border>
    <border>
      <left style="thick"/>
      <right>
        <color indexed="63"/>
      </right>
      <top style="medium"/>
      <bottom style="hair"/>
    </border>
    <border>
      <left style="medium"/>
      <right style="thick"/>
      <top style="medium"/>
      <bottom style="hair"/>
    </border>
    <border>
      <left>
        <color indexed="63"/>
      </left>
      <right style="thick"/>
      <top>
        <color indexed="63"/>
      </top>
      <bottom style="thick"/>
    </border>
    <border>
      <left>
        <color indexed="63"/>
      </left>
      <right style="thin"/>
      <top style="thick"/>
      <bottom style="thick"/>
    </border>
    <border>
      <left>
        <color indexed="63"/>
      </left>
      <right style="thick"/>
      <top style="thick"/>
      <bottom style="thick"/>
    </border>
    <border>
      <left>
        <color indexed="63"/>
      </left>
      <right>
        <color indexed="63"/>
      </right>
      <top style="medium"/>
      <bottom style="medium"/>
    </border>
    <border>
      <left style="thick"/>
      <right>
        <color indexed="63"/>
      </right>
      <top style="hair"/>
      <bottom style="hair"/>
    </border>
    <border>
      <left style="thin"/>
      <right style="thin"/>
      <top style="hair"/>
      <bottom style="hair"/>
    </border>
    <border>
      <left style="thick"/>
      <right style="thick"/>
      <top>
        <color indexed="63"/>
      </top>
      <bottom style="thin"/>
    </border>
    <border>
      <left>
        <color indexed="63"/>
      </left>
      <right style="thin"/>
      <top>
        <color indexed="63"/>
      </top>
      <bottom style="thin"/>
    </border>
    <border>
      <left>
        <color indexed="63"/>
      </left>
      <right style="thick"/>
      <top>
        <color indexed="63"/>
      </top>
      <bottom style="thin"/>
    </border>
    <border>
      <left>
        <color indexed="63"/>
      </left>
      <right style="thin"/>
      <top>
        <color indexed="63"/>
      </top>
      <bottom style="thick"/>
    </border>
    <border>
      <left>
        <color indexed="63"/>
      </left>
      <right style="thick"/>
      <top>
        <color indexed="63"/>
      </top>
      <bottom style="thick">
        <color indexed="9"/>
      </bottom>
    </border>
    <border>
      <left>
        <color indexed="63"/>
      </left>
      <right>
        <color indexed="63"/>
      </right>
      <top>
        <color indexed="63"/>
      </top>
      <bottom style="thick"/>
    </border>
    <border>
      <left style="medium"/>
      <right style="medium"/>
      <top>
        <color indexed="63"/>
      </top>
      <bottom style="thick"/>
    </border>
    <border>
      <left style="mediumDashed"/>
      <right style="medium"/>
      <top style="hair"/>
      <bottom style="hair"/>
    </border>
    <border>
      <left style="thick"/>
      <right style="thick"/>
      <top>
        <color indexed="63"/>
      </top>
      <bottom style="thick"/>
    </border>
    <border>
      <left style="medium"/>
      <right style="thick"/>
      <top style="hair"/>
      <bottom style="hair"/>
    </border>
    <border>
      <left style="thick"/>
      <right>
        <color indexed="63"/>
      </right>
      <top>
        <color indexed="63"/>
      </top>
      <bottom style="hair"/>
    </border>
    <border>
      <left style="medium"/>
      <right style="thick"/>
      <top>
        <color indexed="63"/>
      </top>
      <bottom style="hair"/>
    </border>
    <border>
      <left style="thick"/>
      <right style="thick"/>
      <top style="thin"/>
      <bottom style="thin"/>
    </border>
    <border>
      <left style="medium"/>
      <right>
        <color indexed="63"/>
      </right>
      <top>
        <color indexed="63"/>
      </top>
      <bottom style="hair"/>
    </border>
    <border>
      <left style="thin"/>
      <right style="medium"/>
      <top>
        <color indexed="63"/>
      </top>
      <bottom style="hair"/>
    </border>
    <border>
      <left style="mediumDashed"/>
      <right>
        <color indexed="63"/>
      </right>
      <top style="hair"/>
      <bottom style="hair"/>
    </border>
    <border diagonalUp="1" diagonalDown="1">
      <left style="medium"/>
      <right style="thin"/>
      <top style="hair"/>
      <bottom style="hair"/>
      <diagonal style="medium"/>
    </border>
    <border>
      <left style="thin"/>
      <right style="thin"/>
      <top>
        <color indexed="63"/>
      </top>
      <bottom style="hair"/>
    </border>
    <border>
      <left style="thin"/>
      <right>
        <color indexed="63"/>
      </right>
      <top>
        <color indexed="63"/>
      </top>
      <bottom style="hair"/>
    </border>
    <border>
      <left>
        <color indexed="63"/>
      </left>
      <right style="thin"/>
      <top style="hair"/>
      <bottom style="hair"/>
    </border>
    <border>
      <left>
        <color indexed="63"/>
      </left>
      <right>
        <color indexed="63"/>
      </right>
      <top style="hair"/>
      <bottom style="hair"/>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medium"/>
      <bottom>
        <color indexed="63"/>
      </bottom>
    </border>
    <border>
      <left style="thick"/>
      <right>
        <color indexed="63"/>
      </right>
      <top style="hair"/>
      <bottom style="medium"/>
    </border>
    <border>
      <left style="medium"/>
      <right style="thick"/>
      <top style="hair"/>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mediumDashed"/>
      <right style="medium"/>
      <top style="medium"/>
      <bottom style="medium"/>
    </border>
    <border>
      <left style="medium"/>
      <right style="thin"/>
      <top style="medium"/>
      <bottom style="medium"/>
    </border>
    <border>
      <left style="thin"/>
      <right style="mediumDashed"/>
      <top style="medium"/>
      <bottom style="medium"/>
    </border>
    <border>
      <left style="mediumDashed"/>
      <right style="medium"/>
      <top>
        <color indexed="63"/>
      </top>
      <bottom style="medium"/>
    </border>
    <border>
      <left style="thin"/>
      <right style="thin"/>
      <top style="medium"/>
      <bottom style="medium"/>
    </border>
    <border>
      <left>
        <color indexed="63"/>
      </left>
      <right style="medium"/>
      <top style="medium"/>
      <bottom style="medium"/>
    </border>
    <border diagonalUp="1" diagonalDown="1">
      <left style="medium"/>
      <right style="medium"/>
      <top style="medium"/>
      <bottom style="medium"/>
      <diagonal style="thin"/>
    </border>
    <border>
      <left style="medium"/>
      <right>
        <color indexed="63"/>
      </right>
      <top style="medium"/>
      <bottom style="medium"/>
    </border>
    <border>
      <left style="medium"/>
      <right>
        <color indexed="63"/>
      </right>
      <top style="medium"/>
      <bottom style="hair"/>
    </border>
    <border>
      <left style="thin"/>
      <right style="medium"/>
      <top style="medium"/>
      <bottom style="hair"/>
    </border>
    <border>
      <left style="medium"/>
      <right style="thin"/>
      <top style="medium"/>
      <bottom style="hair"/>
    </border>
    <border>
      <left style="thin"/>
      <right style="thin"/>
      <top style="medium"/>
      <bottom style="hair"/>
    </border>
    <border>
      <left style="thin"/>
      <right>
        <color indexed="63"/>
      </right>
      <top style="medium"/>
      <bottom style="hair"/>
    </border>
    <border>
      <left style="medium"/>
      <right>
        <color indexed="63"/>
      </right>
      <top style="hair"/>
      <bottom style="hair"/>
    </border>
    <border>
      <left style="thin"/>
      <right style="medium"/>
      <top style="hair"/>
      <bottom style="hair"/>
    </border>
    <border>
      <left style="thin"/>
      <right>
        <color indexed="63"/>
      </right>
      <top style="hair"/>
      <bottom style="hair"/>
    </border>
    <border>
      <left style="thick"/>
      <right style="medium"/>
      <top style="hair"/>
      <bottom style="hair"/>
    </border>
    <border>
      <left style="thick"/>
      <right style="medium"/>
      <top>
        <color indexed="63"/>
      </top>
      <bottom style="hair"/>
    </border>
    <border>
      <left style="medium"/>
      <right style="thin"/>
      <top style="hair"/>
      <bottom style="hair"/>
    </border>
    <border>
      <left style="medium"/>
      <right style="medium"/>
      <top style="hair"/>
      <bottom style="medium"/>
    </border>
    <border>
      <left style="mediumDashed"/>
      <right>
        <color indexed="63"/>
      </right>
      <top style="medium"/>
      <bottom style="hair"/>
    </border>
    <border>
      <left>
        <color indexed="63"/>
      </left>
      <right style="thin"/>
      <top style="medium"/>
      <bottom style="hair"/>
    </border>
    <border>
      <left>
        <color indexed="63"/>
      </left>
      <right>
        <color indexed="63"/>
      </right>
      <top style="medium"/>
      <bottom style="hair"/>
    </border>
    <border>
      <left style="mediumDashed"/>
      <right style="medium"/>
      <top style="medium"/>
      <bottom style="hair"/>
    </border>
    <border diagonalUp="1" diagonalDown="1">
      <left style="medium"/>
      <right>
        <color indexed="63"/>
      </right>
      <top style="medium"/>
      <bottom style="hair"/>
      <diagonal style="medium"/>
    </border>
    <border diagonalUp="1" diagonalDown="1">
      <left style="thin"/>
      <right>
        <color indexed="63"/>
      </right>
      <top style="medium"/>
      <bottom style="hair"/>
      <diagonal style="medium"/>
    </border>
    <border diagonalUp="1" diagonalDown="1">
      <left style="mediumDashed"/>
      <right style="medium"/>
      <top style="medium"/>
      <bottom style="hair"/>
      <diagonal style="medium"/>
    </border>
    <border diagonalUp="1" diagonalDown="1">
      <left style="thin"/>
      <right style="thin"/>
      <top style="hair"/>
      <bottom style="hair"/>
      <diagonal style="medium"/>
    </border>
    <border diagonalUp="1" diagonalDown="1">
      <left style="thin"/>
      <right>
        <color indexed="63"/>
      </right>
      <top style="hair"/>
      <bottom style="hair"/>
      <diagonal style="medium"/>
    </border>
    <border diagonalUp="1" diagonalDown="1">
      <left style="medium"/>
      <right style="thin"/>
      <top style="hair"/>
      <bottom style="medium"/>
      <diagonal style="medium"/>
    </border>
    <border diagonalUp="1" diagonalDown="1">
      <left style="thin"/>
      <right>
        <color indexed="63"/>
      </right>
      <top style="hair"/>
      <bottom style="medium"/>
      <diagonal style="medium"/>
    </border>
    <border diagonalUp="1" diagonalDown="1">
      <left style="thin"/>
      <right style="thin"/>
      <top style="hair"/>
      <bottom style="medium"/>
      <diagonal style="medium"/>
    </border>
    <border>
      <left>
        <color indexed="63"/>
      </left>
      <right style="thin"/>
      <top style="hair"/>
      <bottom style="medium"/>
    </border>
    <border>
      <left style="thin"/>
      <right style="thin"/>
      <top style="hair"/>
      <bottom style="medium"/>
    </border>
    <border>
      <left style="medium"/>
      <right>
        <color indexed="63"/>
      </right>
      <top style="hair"/>
      <bottom style="medium"/>
    </border>
    <border>
      <left style="thin"/>
      <right>
        <color indexed="63"/>
      </right>
      <top style="hair"/>
      <bottom style="medium"/>
    </border>
    <border diagonalUp="1" diagonalDown="1">
      <left style="thin"/>
      <right style="medium"/>
      <top style="hair"/>
      <bottom style="medium"/>
      <diagonal style="medium"/>
    </border>
    <border>
      <left style="mediumDashed"/>
      <right style="medium"/>
      <top style="hair"/>
      <bottom style="medium"/>
    </border>
    <border>
      <left style="thin"/>
      <right style="thin"/>
      <top style="medium"/>
      <bottom style="thin"/>
    </border>
    <border>
      <left style="thin"/>
      <right style="thin"/>
      <top style="thin"/>
      <bottom>
        <color indexed="63"/>
      </bottom>
    </border>
    <border diagonalUp="1" diagonalDown="1">
      <left style="medium"/>
      <right style="thin"/>
      <top>
        <color indexed="63"/>
      </top>
      <bottom style="medium"/>
      <diagonal style="medium"/>
    </border>
    <border diagonalUp="1" diagonalDown="1">
      <left style="thin"/>
      <right>
        <color indexed="63"/>
      </right>
      <top>
        <color indexed="63"/>
      </top>
      <bottom style="medium"/>
      <diagonal style="medium"/>
    </border>
    <border>
      <left style="thick"/>
      <right>
        <color indexed="63"/>
      </right>
      <top style="thick"/>
      <bottom style="thin"/>
    </border>
    <border>
      <left style="thin"/>
      <right>
        <color indexed="63"/>
      </right>
      <top style="thick"/>
      <bottom style="thin"/>
    </border>
    <border>
      <left>
        <color indexed="63"/>
      </left>
      <right style="thick"/>
      <top style="thick"/>
      <bottom style="thin"/>
    </border>
    <border>
      <left style="thick"/>
      <right style="thick"/>
      <top style="thick"/>
      <bottom style="thick"/>
    </border>
    <border>
      <left>
        <color indexed="63"/>
      </left>
      <right>
        <color indexed="63"/>
      </right>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ck"/>
      <bottom style="thin"/>
    </border>
    <border>
      <left style="thick"/>
      <right style="thin"/>
      <top style="thin"/>
      <bottom>
        <color indexed="63"/>
      </bottom>
    </border>
    <border>
      <left style="thin"/>
      <right style="thick"/>
      <top style="thin"/>
      <bottom>
        <color indexed="63"/>
      </bottom>
    </border>
    <border>
      <left style="thin"/>
      <right>
        <color indexed="63"/>
      </right>
      <top style="thin"/>
      <bottom>
        <color indexed="63"/>
      </bottom>
    </border>
    <border>
      <left style="thick"/>
      <right style="thick"/>
      <top style="thin"/>
      <bottom style="thick"/>
    </border>
    <border>
      <left>
        <color indexed="63"/>
      </left>
      <right style="thick"/>
      <top style="thin"/>
      <bottom style="thin"/>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style="thick"/>
      <top style="thin"/>
      <bottom>
        <color indexed="63"/>
      </bottom>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thick"/>
      <right style="thin"/>
      <top style="thick"/>
      <bottom style="thick"/>
    </border>
    <border>
      <left style="thin"/>
      <right style="thin"/>
      <top style="thick"/>
      <bottom style="thick"/>
    </border>
    <border>
      <left style="thin"/>
      <right>
        <color indexed="63"/>
      </right>
      <top style="thick"/>
      <bottom style="thick"/>
    </border>
    <border>
      <left style="thin"/>
      <right style="thick"/>
      <top style="thick"/>
      <bottom style="thick"/>
    </border>
    <border>
      <left style="thin"/>
      <right style="thin"/>
      <top>
        <color indexed="63"/>
      </top>
      <bottom>
        <color indexed="63"/>
      </bottom>
    </border>
    <border>
      <left style="thin"/>
      <right>
        <color indexed="63"/>
      </right>
      <top>
        <color indexed="63"/>
      </top>
      <bottom>
        <color indexed="63"/>
      </bottom>
    </border>
    <border>
      <left>
        <color indexed="63"/>
      </left>
      <right style="thin"/>
      <top style="thick"/>
      <bottom style="thin"/>
    </border>
    <border>
      <left>
        <color indexed="63"/>
      </left>
      <right style="thin"/>
      <top style="thin"/>
      <bottom>
        <color indexed="63"/>
      </bottom>
    </border>
    <border>
      <left style="thick"/>
      <right>
        <color indexed="63"/>
      </right>
      <top style="thin"/>
      <bottom style="thin"/>
    </border>
    <border>
      <left>
        <color indexed="63"/>
      </left>
      <right style="thin"/>
      <top style="thin"/>
      <bottom style="thick"/>
    </border>
    <border>
      <left style="medium"/>
      <right style="thin"/>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color indexed="63"/>
      </left>
      <right style="thin"/>
      <top style="medium"/>
      <bottom style="medium"/>
    </border>
    <border>
      <left style="thin"/>
      <right style="medium"/>
      <top style="medium"/>
      <bottom style="medium"/>
    </border>
    <border>
      <left>
        <color indexed="63"/>
      </left>
      <right style="medium"/>
      <top>
        <color indexed="63"/>
      </top>
      <bottom style="thick"/>
    </border>
    <border>
      <left style="thick"/>
      <right style="thick"/>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
      <left style="thin"/>
      <right style="medium"/>
      <top style="thin"/>
      <bottom style="medium"/>
    </border>
    <border>
      <left style="double">
        <color indexed="8"/>
      </left>
      <right>
        <color indexed="63"/>
      </right>
      <top style="double">
        <color indexed="8"/>
      </top>
      <bottom>
        <color indexed="63"/>
      </bottom>
    </border>
    <border>
      <left>
        <color indexed="63"/>
      </left>
      <right style="double"/>
      <top style="double"/>
      <bottom>
        <color indexed="63"/>
      </bottom>
    </border>
    <border>
      <left style="double"/>
      <right>
        <color indexed="63"/>
      </right>
      <top style="double"/>
      <bottom style="double">
        <color indexed="8"/>
      </bottom>
    </border>
    <border>
      <left>
        <color indexed="63"/>
      </left>
      <right>
        <color indexed="63"/>
      </right>
      <top style="double"/>
      <bottom style="double">
        <color indexed="8"/>
      </bottom>
    </border>
    <border>
      <left>
        <color indexed="63"/>
      </left>
      <right>
        <color indexed="63"/>
      </right>
      <top style="double">
        <color indexed="8"/>
      </top>
      <bottom>
        <color indexed="63"/>
      </bottom>
    </border>
    <border>
      <left>
        <color indexed="63"/>
      </left>
      <right style="double">
        <color indexed="8"/>
      </right>
      <top style="double">
        <color indexed="8"/>
      </top>
      <bottom>
        <color indexed="63"/>
      </bottom>
    </border>
    <border>
      <left style="double">
        <color indexed="8"/>
      </left>
      <right>
        <color indexed="63"/>
      </right>
      <top style="double">
        <color indexed="8"/>
      </top>
      <bottom style="double">
        <color indexed="8"/>
      </bottom>
    </border>
    <border>
      <left style="double">
        <color indexed="8"/>
      </left>
      <right style="double">
        <color indexed="8"/>
      </right>
      <top style="double">
        <color indexed="8"/>
      </top>
      <bottom style="double"/>
    </border>
    <border>
      <left style="double">
        <color indexed="8"/>
      </left>
      <right>
        <color indexed="63"/>
      </right>
      <top>
        <color indexed="63"/>
      </top>
      <bottom>
        <color indexed="63"/>
      </bottom>
    </border>
    <border>
      <left>
        <color indexed="63"/>
      </left>
      <right style="double"/>
      <top>
        <color indexed="63"/>
      </top>
      <bottom>
        <color indexed="63"/>
      </bottom>
    </border>
    <border>
      <left>
        <color indexed="63"/>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thin"/>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style="thin"/>
      <right>
        <color indexed="63"/>
      </right>
      <top style="double">
        <color indexed="8"/>
      </top>
      <bottom style="double">
        <color indexed="8"/>
      </bottom>
    </border>
    <border>
      <left style="double">
        <color indexed="8"/>
      </left>
      <right style="double">
        <color indexed="8"/>
      </right>
      <top style="double"/>
      <bottom style="double"/>
    </border>
    <border>
      <left style="double">
        <color indexed="8"/>
      </left>
      <right>
        <color indexed="63"/>
      </right>
      <top>
        <color indexed="63"/>
      </top>
      <bottom style="double">
        <color indexed="8"/>
      </bottom>
    </border>
    <border>
      <left>
        <color indexed="63"/>
      </left>
      <right style="double"/>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double">
        <color indexed="8"/>
      </left>
      <right>
        <color indexed="63"/>
      </right>
      <top style="double">
        <color indexed="8"/>
      </top>
      <bottom style="double"/>
    </border>
    <border>
      <left>
        <color indexed="63"/>
      </left>
      <right>
        <color indexed="63"/>
      </right>
      <top style="double">
        <color indexed="8"/>
      </top>
      <bottom style="double"/>
    </border>
    <border>
      <left style="double">
        <color indexed="8"/>
      </left>
      <right style="double">
        <color indexed="8"/>
      </right>
      <top>
        <color indexed="63"/>
      </top>
      <bottom style="double"/>
    </border>
    <border>
      <left>
        <color indexed="63"/>
      </left>
      <right style="double">
        <color indexed="8"/>
      </right>
      <top>
        <color indexed="63"/>
      </top>
      <bottom>
        <color indexed="63"/>
      </bottom>
    </border>
    <border>
      <left>
        <color indexed="63"/>
      </left>
      <right style="thin">
        <color indexed="8"/>
      </right>
      <top style="double">
        <color indexed="8"/>
      </top>
      <bottom>
        <color indexed="63"/>
      </bottom>
    </border>
    <border>
      <left style="thin"/>
      <right>
        <color indexed="63"/>
      </right>
      <top style="double">
        <color indexed="8"/>
      </top>
      <bottom>
        <color indexed="63"/>
      </bottom>
    </border>
    <border>
      <left style="thin">
        <color indexed="8"/>
      </left>
      <right>
        <color indexed="63"/>
      </right>
      <top style="double">
        <color indexed="8"/>
      </top>
      <bottom>
        <color indexed="63"/>
      </bottom>
    </border>
    <border>
      <left style="double"/>
      <right>
        <color indexed="63"/>
      </right>
      <top style="double"/>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right>
        <color indexed="63"/>
      </right>
      <top>
        <color indexed="63"/>
      </top>
      <bottom>
        <color indexed="63"/>
      </bottom>
    </border>
    <border>
      <left style="double">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style="double"/>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style="double">
        <color indexed="8"/>
      </right>
      <top style="thin">
        <color indexed="8"/>
      </top>
      <bottom style="double">
        <color indexed="8"/>
      </bottom>
    </border>
    <border>
      <left>
        <color indexed="63"/>
      </left>
      <right>
        <color indexed="63"/>
      </right>
      <top style="thin">
        <color indexed="8"/>
      </top>
      <bottom style="double">
        <color indexed="8"/>
      </bottom>
    </border>
    <border>
      <left>
        <color indexed="63"/>
      </left>
      <right style="thin">
        <color indexed="8"/>
      </right>
      <top style="thin">
        <color indexed="8"/>
      </top>
      <bottom style="double">
        <color indexed="8"/>
      </bottom>
    </border>
    <border>
      <left style="thin"/>
      <right>
        <color indexed="63"/>
      </right>
      <top style="thin">
        <color indexed="8"/>
      </top>
      <bottom style="double">
        <color indexed="8"/>
      </bottom>
    </border>
    <border>
      <left style="thin">
        <color indexed="8"/>
      </left>
      <right>
        <color indexed="63"/>
      </right>
      <top style="thin">
        <color indexed="8"/>
      </top>
      <bottom style="double">
        <color indexed="8"/>
      </bottom>
    </border>
    <border>
      <left style="double"/>
      <right>
        <color indexed="63"/>
      </right>
      <top style="thin">
        <color indexed="8"/>
      </top>
      <bottom style="double">
        <color indexed="8"/>
      </bottom>
    </border>
    <border>
      <left style="medium"/>
      <right style="thin"/>
      <top>
        <color indexed="63"/>
      </top>
      <bottom style="thin"/>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ck"/>
      <right>
        <color indexed="63"/>
      </right>
      <top>
        <color indexed="63"/>
      </top>
      <bottom>
        <color indexed="63"/>
      </bottom>
    </border>
    <border>
      <left style="thin"/>
      <right>
        <color indexed="63"/>
      </right>
      <top style="medium"/>
      <bottom style="medium"/>
    </border>
    <border>
      <left style="medium"/>
      <right style="thick"/>
      <top style="medium"/>
      <bottom style="thin"/>
    </border>
    <border>
      <left>
        <color indexed="63"/>
      </left>
      <right style="thick"/>
      <top style="medium"/>
      <bottom style="thin"/>
    </border>
    <border>
      <left>
        <color indexed="63"/>
      </left>
      <right style="medium"/>
      <top style="medium"/>
      <bottom style="thin"/>
    </border>
    <border>
      <left style="medium"/>
      <right style="thick"/>
      <top>
        <color indexed="63"/>
      </top>
      <bottom style="thin"/>
    </border>
    <border>
      <left>
        <color indexed="63"/>
      </left>
      <right style="medium"/>
      <top>
        <color indexed="63"/>
      </top>
      <bottom style="thin"/>
    </border>
    <border>
      <left style="medium"/>
      <right style="thick"/>
      <top>
        <color indexed="63"/>
      </top>
      <bottom>
        <color indexed="63"/>
      </bottom>
    </border>
    <border>
      <left style="medium"/>
      <right style="thick"/>
      <top style="thick"/>
      <bottom style="thick"/>
    </border>
    <border>
      <left style="medium"/>
      <right style="thick"/>
      <top style="thick"/>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color indexed="63"/>
      </top>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color indexed="63"/>
      </right>
      <top>
        <color indexed="63"/>
      </top>
      <bottom style="medium"/>
    </border>
    <border>
      <left style="medium"/>
      <right style="medium"/>
      <top>
        <color indexed="63"/>
      </top>
      <bottom style="thin"/>
    </border>
    <border>
      <left>
        <color indexed="63"/>
      </left>
      <right style="thick"/>
      <top style="thin"/>
      <bottom style="thick"/>
    </border>
    <border>
      <left>
        <color indexed="63"/>
      </left>
      <right style="medium"/>
      <top style="thin"/>
      <bottom style="thin"/>
    </border>
    <border>
      <left style="medium"/>
      <right style="medium"/>
      <top style="medium"/>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thin"/>
      <top style="thin"/>
      <bottom style="medium"/>
    </border>
    <border>
      <left style="medium"/>
      <right>
        <color indexed="63"/>
      </right>
      <top style="double"/>
      <bottom style="medium"/>
    </border>
    <border>
      <left style="medium"/>
      <right style="medium"/>
      <top style="double"/>
      <bottom style="medium"/>
    </border>
    <border>
      <left>
        <color indexed="63"/>
      </left>
      <right>
        <color indexed="63"/>
      </right>
      <top style="double"/>
      <bottom style="medium"/>
    </border>
    <border diagonalUp="1" diagonalDown="1">
      <left style="mediumDashed"/>
      <right style="medium"/>
      <top style="hair"/>
      <bottom style="medium"/>
      <diagonal style="medium"/>
    </border>
    <border>
      <left style="thick"/>
      <right>
        <color indexed="63"/>
      </right>
      <top style="thick"/>
      <bottom style="thick"/>
    </border>
    <border>
      <left>
        <color indexed="63"/>
      </left>
      <right style="thin"/>
      <top>
        <color indexed="63"/>
      </top>
      <bottom>
        <color indexed="63"/>
      </bottom>
    </border>
    <border>
      <left>
        <color indexed="63"/>
      </left>
      <right style="thick"/>
      <top style="thick"/>
      <bottom>
        <color indexed="63"/>
      </bottom>
    </border>
    <border>
      <left style="medium"/>
      <right style="medium"/>
      <top style="thick"/>
      <bottom style="thick"/>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Dashed"/>
      <right>
        <color indexed="63"/>
      </right>
      <top>
        <color indexed="63"/>
      </top>
      <bottom style="hair"/>
    </border>
    <border>
      <left style="mediumDashed"/>
      <right>
        <color indexed="63"/>
      </right>
      <top style="hair"/>
      <bottom style="medium"/>
    </border>
    <border>
      <left style="mediumDashed"/>
      <right style="medium"/>
      <top style="hair"/>
      <bottom style="thin"/>
    </border>
    <border diagonalDown="1">
      <left>
        <color indexed="63"/>
      </left>
      <right>
        <color indexed="63"/>
      </right>
      <top>
        <color indexed="63"/>
      </top>
      <bottom>
        <color indexed="63"/>
      </bottom>
      <diagonal style="thick"/>
    </border>
    <border diagonalDown="1">
      <left>
        <color indexed="63"/>
      </left>
      <right style="thick"/>
      <top>
        <color indexed="63"/>
      </top>
      <bottom>
        <color indexed="63"/>
      </bottom>
      <diagonal style="thick"/>
    </border>
    <border diagonalDown="1">
      <left>
        <color indexed="63"/>
      </left>
      <right>
        <color indexed="63"/>
      </right>
      <top>
        <color indexed="63"/>
      </top>
      <bottom style="thick"/>
      <diagonal style="thick"/>
    </border>
    <border diagonalDown="1">
      <left>
        <color indexed="63"/>
      </left>
      <right style="thick"/>
      <top>
        <color indexed="63"/>
      </top>
      <bottom style="thick"/>
      <diagonal style="thick"/>
    </border>
    <border>
      <left>
        <color indexed="63"/>
      </left>
      <right style="medium"/>
      <top>
        <color indexed="63"/>
      </top>
      <bottom style="medium"/>
    </border>
    <border>
      <left>
        <color indexed="63"/>
      </left>
      <right style="thick"/>
      <top>
        <color indexed="63"/>
      </top>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medium"/>
      <top style="hair"/>
      <bottom style="hair"/>
    </border>
    <border>
      <left style="thin"/>
      <right style="mediumDashed"/>
      <top style="hair"/>
      <bottom>
        <color indexed="63"/>
      </bottom>
    </border>
    <border>
      <left style="thin"/>
      <right style="mediumDashed"/>
      <top>
        <color indexed="63"/>
      </top>
      <bottom>
        <color indexed="63"/>
      </bottom>
    </border>
    <border>
      <left style="medium"/>
      <right style="thin"/>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style="thick"/>
      <top style="medium"/>
      <bottom>
        <color indexed="63"/>
      </bottom>
    </border>
    <border>
      <left style="medium"/>
      <right style="thick"/>
      <top>
        <color indexed="63"/>
      </top>
      <bottom style="medium"/>
    </border>
    <border>
      <left style="thin"/>
      <right style="medium"/>
      <top>
        <color indexed="63"/>
      </top>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Dashed"/>
      <right style="medium"/>
      <top>
        <color indexed="63"/>
      </top>
      <bottom>
        <color indexed="63"/>
      </bottom>
    </border>
    <border diagonalDown="1">
      <left style="thick">
        <color indexed="9"/>
      </left>
      <right>
        <color indexed="63"/>
      </right>
      <top style="thick">
        <color indexed="9"/>
      </top>
      <bottom>
        <color indexed="63"/>
      </bottom>
      <diagonal style="thick"/>
    </border>
    <border diagonalDown="1">
      <left>
        <color indexed="63"/>
      </left>
      <right style="thick"/>
      <top style="thick">
        <color indexed="9"/>
      </top>
      <bottom>
        <color indexed="63"/>
      </bottom>
      <diagonal style="thick"/>
    </border>
    <border diagonalDown="1">
      <left style="thick">
        <color indexed="9"/>
      </left>
      <right>
        <color indexed="63"/>
      </right>
      <top>
        <color indexed="63"/>
      </top>
      <bottom style="thick"/>
      <diagonal style="thick"/>
    </border>
    <border diagonalDown="1">
      <left>
        <color indexed="63"/>
      </left>
      <right style="medium"/>
      <top style="thick">
        <color indexed="9"/>
      </top>
      <bottom>
        <color indexed="63"/>
      </bottom>
      <diagonal style="thick"/>
    </border>
    <border diagonalDown="1">
      <left style="thick">
        <color indexed="9"/>
      </left>
      <right>
        <color indexed="63"/>
      </right>
      <top>
        <color indexed="63"/>
      </top>
      <bottom style="medium"/>
      <diagonal style="thick"/>
    </border>
    <border diagonalDown="1">
      <left>
        <color indexed="63"/>
      </left>
      <right style="medium"/>
      <top>
        <color indexed="63"/>
      </top>
      <bottom style="medium"/>
      <diagonal style="thick"/>
    </border>
    <border>
      <left style="thick"/>
      <right style="medium"/>
      <top style="hair"/>
      <bottom>
        <color indexed="63"/>
      </bottom>
    </border>
    <border>
      <left style="thick"/>
      <right style="medium"/>
      <top>
        <color indexed="63"/>
      </top>
      <bottom>
        <color indexed="63"/>
      </bottom>
    </border>
    <border>
      <left style="medium"/>
      <right style="thin"/>
      <top>
        <color indexed="63"/>
      </top>
      <bottom style="hair"/>
    </border>
    <border>
      <left>
        <color indexed="63"/>
      </left>
      <right style="mediumDashed"/>
      <top style="hair"/>
      <bottom style="hair"/>
    </border>
    <border>
      <left style="medium"/>
      <right style="medium"/>
      <top style="hair"/>
      <bottom>
        <color indexed="63"/>
      </bottom>
    </border>
    <border>
      <left style="medium"/>
      <right style="medium"/>
      <top>
        <color indexed="63"/>
      </top>
      <bottom style="hair"/>
    </border>
    <border>
      <left style="thin"/>
      <right style="mediumDashed"/>
      <top>
        <color indexed="63"/>
      </top>
      <bottom style="hair"/>
    </border>
    <border>
      <left style="mediumDashed"/>
      <right style="medium"/>
      <top>
        <color indexed="63"/>
      </top>
      <bottom style="hair"/>
    </border>
    <border>
      <left style="medium"/>
      <right style="thick"/>
      <top style="hair"/>
      <bottom>
        <color indexed="63"/>
      </bottom>
    </border>
    <border>
      <left style="mediumDashed"/>
      <right>
        <color indexed="63"/>
      </right>
      <top style="hair"/>
      <bottom>
        <color indexed="63"/>
      </bottom>
    </border>
    <border>
      <left style="mediumDashed"/>
      <right>
        <color indexed="63"/>
      </right>
      <top>
        <color indexed="63"/>
      </top>
      <bottom>
        <color indexed="63"/>
      </bottom>
    </border>
    <border>
      <left style="double"/>
      <right>
        <color indexed="63"/>
      </right>
      <top style="double">
        <color indexed="8"/>
      </top>
      <bottom style="double">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179" fontId="41" fillId="0" borderId="0">
      <alignment/>
      <protection/>
    </xf>
    <xf numFmtId="9" fontId="0" fillId="0" borderId="0" applyFont="0" applyFill="0" applyBorder="0" applyAlignment="0" applyProtection="0"/>
  </cellStyleXfs>
  <cellXfs count="1516">
    <xf numFmtId="0" fontId="0" fillId="0" borderId="0" xfId="0" applyAlignment="1">
      <alignment/>
    </xf>
    <xf numFmtId="0" fontId="4" fillId="0" borderId="0" xfId="22" applyFont="1" applyProtection="1">
      <alignment/>
      <protection locked="0"/>
    </xf>
    <xf numFmtId="1" fontId="4" fillId="0" borderId="0" xfId="22" applyNumberFormat="1" applyFont="1" applyProtection="1">
      <alignment/>
      <protection/>
    </xf>
    <xf numFmtId="0" fontId="4" fillId="0" borderId="0" xfId="22" applyFont="1" applyProtection="1">
      <alignment/>
      <protection/>
    </xf>
    <xf numFmtId="1" fontId="0" fillId="0" borderId="0" xfId="22" applyNumberFormat="1" applyFont="1" applyBorder="1" applyProtection="1">
      <alignment/>
      <protection/>
    </xf>
    <xf numFmtId="0" fontId="0" fillId="0" borderId="0" xfId="22" applyFont="1" applyBorder="1" applyProtection="1">
      <alignment/>
      <protection/>
    </xf>
    <xf numFmtId="1" fontId="8" fillId="0" borderId="0" xfId="0" applyNumberFormat="1" applyFont="1" applyAlignment="1" applyProtection="1">
      <alignment/>
      <protection/>
    </xf>
    <xf numFmtId="0" fontId="8" fillId="0" borderId="0" xfId="0" applyFont="1" applyAlignment="1" applyProtection="1">
      <alignment/>
      <protection/>
    </xf>
    <xf numFmtId="0" fontId="10" fillId="0" borderId="0" xfId="0" applyFont="1" applyBorder="1" applyAlignment="1">
      <alignment/>
    </xf>
    <xf numFmtId="0" fontId="0" fillId="0" borderId="0" xfId="22" applyFont="1" applyBorder="1" applyAlignment="1" applyProtection="1">
      <alignment wrapText="1"/>
      <protection/>
    </xf>
    <xf numFmtId="1" fontId="0" fillId="0" borderId="0" xfId="22" applyNumberFormat="1" applyFont="1" applyBorder="1" applyAlignment="1" applyProtection="1">
      <alignment horizontal="center"/>
      <protection/>
    </xf>
    <xf numFmtId="0" fontId="4" fillId="0" borderId="0" xfId="22" applyFont="1" applyBorder="1" applyProtection="1">
      <alignment/>
      <protection/>
    </xf>
    <xf numFmtId="0" fontId="4" fillId="0" borderId="0" xfId="22" applyFont="1" applyAlignment="1" applyProtection="1">
      <alignment/>
      <protection locked="0"/>
    </xf>
    <xf numFmtId="0" fontId="11" fillId="0" borderId="0" xfId="22" applyFont="1" applyBorder="1" applyAlignment="1" applyProtection="1">
      <alignment horizontal="center" vertical="center"/>
      <protection/>
    </xf>
    <xf numFmtId="0" fontId="0" fillId="0" borderId="0" xfId="22" applyFont="1" applyBorder="1" applyAlignment="1" applyProtection="1">
      <alignment/>
      <protection/>
    </xf>
    <xf numFmtId="0" fontId="0" fillId="2" borderId="0" xfId="22" applyFont="1" applyFill="1" applyBorder="1" applyAlignment="1" applyProtection="1">
      <alignment wrapText="1"/>
      <protection/>
    </xf>
    <xf numFmtId="0" fontId="0" fillId="2" borderId="0" xfId="22" applyFont="1" applyFill="1" applyBorder="1" applyAlignment="1" applyProtection="1">
      <alignment/>
      <protection/>
    </xf>
    <xf numFmtId="1" fontId="0" fillId="2" borderId="0" xfId="22" applyNumberFormat="1" applyFont="1" applyFill="1" applyBorder="1" applyAlignment="1" applyProtection="1">
      <alignment/>
      <protection/>
    </xf>
    <xf numFmtId="1" fontId="0" fillId="2" borderId="0" xfId="22" applyNumberFormat="1" applyFont="1" applyFill="1" applyBorder="1" applyAlignment="1" applyProtection="1">
      <alignment horizontal="center"/>
      <protection/>
    </xf>
    <xf numFmtId="0" fontId="0" fillId="0" borderId="0" xfId="22" applyFont="1" applyAlignment="1" applyProtection="1">
      <alignment/>
      <protection/>
    </xf>
    <xf numFmtId="49" fontId="5" fillId="0" borderId="0" xfId="22" applyNumberFormat="1" applyFont="1" applyAlignment="1" applyProtection="1">
      <alignment horizontal="center" vertical="center"/>
      <protection locked="0"/>
    </xf>
    <xf numFmtId="1" fontId="13" fillId="0" borderId="1" xfId="0" applyNumberFormat="1" applyFont="1" applyBorder="1" applyAlignment="1" applyProtection="1">
      <alignment horizontal="center" vertical="center"/>
      <protection/>
    </xf>
    <xf numFmtId="1" fontId="13" fillId="0" borderId="2" xfId="0" applyNumberFormat="1" applyFont="1" applyBorder="1" applyAlignment="1" applyProtection="1">
      <alignment horizontal="center" vertical="center"/>
      <protection/>
    </xf>
    <xf numFmtId="49" fontId="13" fillId="0" borderId="2" xfId="0" applyNumberFormat="1" applyFont="1" applyBorder="1" applyAlignment="1" applyProtection="1">
      <alignment horizontal="center" vertical="center"/>
      <protection/>
    </xf>
    <xf numFmtId="49" fontId="13" fillId="0" borderId="1" xfId="0" applyNumberFormat="1" applyFont="1" applyBorder="1" applyAlignment="1" applyProtection="1">
      <alignment horizontal="center" vertical="center"/>
      <protection/>
    </xf>
    <xf numFmtId="49" fontId="13" fillId="0" borderId="3" xfId="0" applyNumberFormat="1" applyFont="1" applyBorder="1" applyAlignment="1" applyProtection="1">
      <alignment horizontal="center" vertical="center"/>
      <protection/>
    </xf>
    <xf numFmtId="49" fontId="11" fillId="0" borderId="0" xfId="22" applyNumberFormat="1" applyFont="1" applyAlignment="1" applyProtection="1">
      <alignment horizontal="center" vertical="center"/>
      <protection/>
    </xf>
    <xf numFmtId="0" fontId="6" fillId="2" borderId="0" xfId="22" applyFont="1" applyFill="1" applyBorder="1" applyAlignment="1" applyProtection="1">
      <alignment wrapText="1"/>
      <protection/>
    </xf>
    <xf numFmtId="0" fontId="6" fillId="2" borderId="0" xfId="22" applyFont="1" applyFill="1" applyBorder="1" applyProtection="1">
      <alignment/>
      <protection/>
    </xf>
    <xf numFmtId="1" fontId="6" fillId="2" borderId="0" xfId="22" applyNumberFormat="1" applyFont="1" applyFill="1" applyBorder="1" applyProtection="1">
      <alignment/>
      <protection/>
    </xf>
    <xf numFmtId="1" fontId="6" fillId="2" borderId="0" xfId="22" applyNumberFormat="1" applyFont="1" applyFill="1" applyBorder="1" applyAlignment="1" applyProtection="1">
      <alignment horizontal="center"/>
      <protection/>
    </xf>
    <xf numFmtId="0" fontId="0" fillId="0" borderId="0" xfId="22" applyFont="1" applyProtection="1">
      <alignment/>
      <protection/>
    </xf>
    <xf numFmtId="0" fontId="14" fillId="0" borderId="0" xfId="22" applyFont="1" applyProtection="1">
      <alignment/>
      <protection locked="0"/>
    </xf>
    <xf numFmtId="0" fontId="13" fillId="2" borderId="1" xfId="22" applyFont="1" applyFill="1" applyBorder="1" applyAlignment="1" applyProtection="1">
      <alignment horizontal="center" vertical="center" textRotation="90"/>
      <protection/>
    </xf>
    <xf numFmtId="0" fontId="16" fillId="0" borderId="0" xfId="22" applyFont="1" applyProtection="1">
      <alignment/>
      <protection locked="0"/>
    </xf>
    <xf numFmtId="3" fontId="4" fillId="0" borderId="0" xfId="22" applyNumberFormat="1" applyFont="1" applyProtection="1">
      <alignment/>
      <protection locked="0"/>
    </xf>
    <xf numFmtId="0" fontId="13" fillId="0" borderId="1" xfId="22" applyFont="1" applyBorder="1" applyAlignment="1" applyProtection="1">
      <alignment horizontal="center" vertical="center" textRotation="90"/>
      <protection/>
    </xf>
    <xf numFmtId="0" fontId="0" fillId="0" borderId="4" xfId="22" applyFont="1" applyFill="1" applyBorder="1" applyAlignment="1" applyProtection="1">
      <alignment horizontal="center" vertical="center" wrapText="1"/>
      <protection/>
    </xf>
    <xf numFmtId="0" fontId="0" fillId="0" borderId="4" xfId="22" applyFont="1" applyFill="1" applyBorder="1" applyAlignment="1" applyProtection="1">
      <alignment horizontal="center" vertical="center"/>
      <protection/>
    </xf>
    <xf numFmtId="2" fontId="4" fillId="0" borderId="0" xfId="22" applyNumberFormat="1" applyFont="1" applyProtection="1">
      <alignment/>
      <protection locked="0"/>
    </xf>
    <xf numFmtId="0" fontId="0" fillId="0" borderId="3" xfId="0" applyFont="1" applyBorder="1" applyAlignment="1" applyProtection="1">
      <alignment wrapText="1"/>
      <protection/>
    </xf>
    <xf numFmtId="0" fontId="0" fillId="0" borderId="5" xfId="0" applyFont="1" applyBorder="1" applyAlignment="1" applyProtection="1">
      <alignment horizontal="center" wrapText="1"/>
      <protection/>
    </xf>
    <xf numFmtId="0" fontId="0" fillId="0" borderId="4" xfId="0" applyFont="1" applyFill="1" applyBorder="1" applyAlignment="1" applyProtection="1">
      <alignment horizontal="center" vertical="center" wrapText="1"/>
      <protection/>
    </xf>
    <xf numFmtId="0" fontId="0" fillId="0" borderId="6" xfId="22" applyFont="1" applyFill="1" applyBorder="1" applyAlignment="1" applyProtection="1">
      <alignment horizontal="center" vertical="center" wrapText="1"/>
      <protection/>
    </xf>
    <xf numFmtId="0" fontId="0" fillId="0" borderId="7" xfId="22" applyFont="1" applyFill="1" applyBorder="1" applyAlignment="1" applyProtection="1">
      <alignment horizontal="center" vertical="center"/>
      <protection/>
    </xf>
    <xf numFmtId="0" fontId="0" fillId="0" borderId="8" xfId="22" applyFont="1" applyFill="1" applyBorder="1" applyAlignment="1" applyProtection="1">
      <alignment horizontal="center" vertical="center"/>
      <protection/>
    </xf>
    <xf numFmtId="0" fontId="17" fillId="0" borderId="9" xfId="22" applyFont="1" applyFill="1" applyBorder="1" applyAlignment="1" applyProtection="1">
      <alignment horizontal="center" vertical="center" wrapText="1"/>
      <protection/>
    </xf>
    <xf numFmtId="0" fontId="0" fillId="0" borderId="7" xfId="22" applyFont="1" applyFill="1" applyBorder="1" applyAlignment="1" applyProtection="1">
      <alignment horizontal="center" vertical="center" wrapText="1"/>
      <protection/>
    </xf>
    <xf numFmtId="0" fontId="0" fillId="0" borderId="10" xfId="22" applyFont="1" applyFill="1" applyBorder="1" applyAlignment="1" applyProtection="1">
      <alignment horizontal="center" vertical="center" wrapText="1"/>
      <protection/>
    </xf>
    <xf numFmtId="0" fontId="0" fillId="0" borderId="11" xfId="22" applyFont="1" applyFill="1" applyBorder="1" applyAlignment="1" applyProtection="1">
      <alignment horizontal="center" vertical="center" wrapText="1"/>
      <protection/>
    </xf>
    <xf numFmtId="0" fontId="0" fillId="0" borderId="0" xfId="22" applyFont="1" applyAlignment="1" applyProtection="1">
      <alignment vertical="top" wrapText="1"/>
      <protection/>
    </xf>
    <xf numFmtId="49" fontId="13" fillId="0" borderId="12" xfId="0" applyNumberFormat="1" applyFont="1" applyBorder="1" applyAlignment="1" applyProtection="1">
      <alignment horizontal="center" vertical="center"/>
      <protection/>
    </xf>
    <xf numFmtId="0" fontId="0" fillId="2" borderId="13" xfId="22" applyFont="1" applyFill="1" applyBorder="1" applyAlignment="1" applyProtection="1">
      <alignment horizontal="center" vertical="center" wrapText="1"/>
      <protection/>
    </xf>
    <xf numFmtId="0" fontId="0" fillId="2" borderId="14" xfId="22" applyFont="1" applyFill="1" applyBorder="1" applyAlignment="1" applyProtection="1">
      <alignment horizontal="center" vertical="center" wrapText="1"/>
      <protection/>
    </xf>
    <xf numFmtId="0" fontId="0" fillId="0" borderId="15" xfId="0" applyFont="1" applyBorder="1" applyAlignment="1">
      <alignment horizont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6" fillId="0" borderId="0" xfId="0" applyFont="1" applyAlignment="1">
      <alignment wrapText="1"/>
    </xf>
    <xf numFmtId="0" fontId="19" fillId="0" borderId="0" xfId="0" applyFont="1" applyAlignment="1">
      <alignment/>
    </xf>
    <xf numFmtId="0" fontId="20" fillId="0" borderId="0" xfId="22" applyFont="1" applyProtection="1">
      <alignment/>
      <protection locked="0"/>
    </xf>
    <xf numFmtId="49" fontId="13" fillId="0" borderId="18" xfId="0" applyNumberFormat="1" applyFont="1" applyBorder="1" applyAlignment="1" applyProtection="1">
      <alignment horizontal="center" vertical="center"/>
      <protection/>
    </xf>
    <xf numFmtId="0" fontId="0" fillId="2" borderId="19" xfId="22" applyFont="1" applyFill="1" applyBorder="1" applyAlignment="1" applyProtection="1">
      <alignment horizontal="center" vertical="center" wrapText="1"/>
      <protection/>
    </xf>
    <xf numFmtId="3" fontId="0" fillId="3" borderId="20" xfId="22" applyNumberFormat="1" applyFont="1" applyFill="1" applyBorder="1" applyAlignment="1" applyProtection="1">
      <alignment vertical="center"/>
      <protection locked="0"/>
    </xf>
    <xf numFmtId="0" fontId="18" fillId="0" borderId="21" xfId="0" applyFont="1" applyBorder="1" applyAlignment="1">
      <alignment/>
    </xf>
    <xf numFmtId="3" fontId="22" fillId="4" borderId="22" xfId="0" applyNumberFormat="1" applyFont="1" applyFill="1" applyBorder="1" applyAlignment="1">
      <alignment horizontal="center"/>
    </xf>
    <xf numFmtId="3" fontId="22" fillId="4" borderId="23" xfId="0" applyNumberFormat="1" applyFont="1" applyFill="1" applyBorder="1" applyAlignment="1">
      <alignment horizontal="center"/>
    </xf>
    <xf numFmtId="3" fontId="22" fillId="0" borderId="23" xfId="0" applyNumberFormat="1" applyFont="1" applyBorder="1" applyAlignment="1">
      <alignment horizontal="center" wrapText="1"/>
    </xf>
    <xf numFmtId="9" fontId="16" fillId="0" borderId="23" xfId="0" applyNumberFormat="1" applyFont="1" applyBorder="1" applyAlignment="1">
      <alignment horizontal="center"/>
    </xf>
    <xf numFmtId="3" fontId="22" fillId="5" borderId="22" xfId="0" applyNumberFormat="1" applyFont="1" applyFill="1" applyBorder="1" applyAlignment="1">
      <alignment horizontal="center"/>
    </xf>
    <xf numFmtId="3" fontId="22" fillId="5" borderId="23" xfId="0" applyNumberFormat="1" applyFont="1" applyFill="1" applyBorder="1" applyAlignment="1">
      <alignment horizontal="center"/>
    </xf>
    <xf numFmtId="3" fontId="22" fillId="6" borderId="24" xfId="0" applyNumberFormat="1" applyFont="1" applyFill="1" applyBorder="1" applyAlignment="1">
      <alignment horizontal="center"/>
    </xf>
    <xf numFmtId="3" fontId="22" fillId="6" borderId="15" xfId="0" applyNumberFormat="1" applyFont="1" applyFill="1" applyBorder="1" applyAlignment="1">
      <alignment horizontal="center"/>
    </xf>
    <xf numFmtId="3" fontId="22" fillId="0" borderId="25" xfId="0" applyNumberFormat="1" applyFont="1" applyBorder="1" applyAlignment="1">
      <alignment horizontal="center" wrapText="1"/>
    </xf>
    <xf numFmtId="0" fontId="16" fillId="0" borderId="26" xfId="0" applyFont="1" applyBorder="1" applyAlignment="1">
      <alignment wrapText="1"/>
    </xf>
    <xf numFmtId="3" fontId="22" fillId="0" borderId="26" xfId="0" applyNumberFormat="1" applyFont="1" applyBorder="1" applyAlignment="1">
      <alignment horizontal="center"/>
    </xf>
    <xf numFmtId="3" fontId="22" fillId="0" borderId="27" xfId="0" applyNumberFormat="1" applyFont="1" applyBorder="1" applyAlignment="1">
      <alignment horizontal="center"/>
    </xf>
    <xf numFmtId="3" fontId="16" fillId="0" borderId="17" xfId="0" applyNumberFormat="1" applyFont="1" applyBorder="1" applyAlignment="1">
      <alignment horizontal="center" wrapText="1"/>
    </xf>
    <xf numFmtId="3" fontId="0" fillId="7" borderId="28" xfId="22" applyNumberFormat="1" applyFont="1" applyFill="1" applyBorder="1" applyAlignment="1" applyProtection="1">
      <alignment vertical="center"/>
      <protection locked="0"/>
    </xf>
    <xf numFmtId="9" fontId="16" fillId="0" borderId="26" xfId="0" applyNumberFormat="1" applyFont="1" applyBorder="1" applyAlignment="1">
      <alignment horizontal="center"/>
    </xf>
    <xf numFmtId="3" fontId="22" fillId="0" borderId="29" xfId="0" applyNumberFormat="1" applyFont="1" applyBorder="1" applyAlignment="1">
      <alignment horizontal="center" wrapText="1"/>
    </xf>
    <xf numFmtId="0" fontId="0" fillId="2" borderId="30" xfId="22" applyFont="1" applyFill="1" applyBorder="1" applyAlignment="1" applyProtection="1">
      <alignment horizontal="center" vertical="center" wrapText="1"/>
      <protection/>
    </xf>
    <xf numFmtId="0" fontId="16" fillId="0" borderId="0" xfId="0" applyFont="1" applyBorder="1" applyAlignment="1">
      <alignment wrapText="1"/>
    </xf>
    <xf numFmtId="3" fontId="22" fillId="0" borderId="0" xfId="0" applyNumberFormat="1" applyFont="1" applyBorder="1" applyAlignment="1">
      <alignment horizontal="center" wrapText="1"/>
    </xf>
    <xf numFmtId="0" fontId="0" fillId="2" borderId="31" xfId="22" applyFont="1" applyFill="1" applyBorder="1" applyAlignment="1" applyProtection="1">
      <alignment horizontal="center" vertical="center" wrapText="1"/>
      <protection/>
    </xf>
    <xf numFmtId="0" fontId="0" fillId="2" borderId="32" xfId="22" applyFont="1" applyFill="1" applyBorder="1" applyAlignment="1" applyProtection="1">
      <alignment horizontal="center" vertical="center" wrapText="1"/>
      <protection/>
    </xf>
    <xf numFmtId="3" fontId="0" fillId="3" borderId="33" xfId="0" applyNumberFormat="1" applyFill="1" applyBorder="1" applyAlignment="1">
      <alignment horizontal="right" vertical="center"/>
    </xf>
    <xf numFmtId="3" fontId="0" fillId="8" borderId="34" xfId="22" applyNumberFormat="1" applyFont="1" applyFill="1" applyBorder="1" applyAlignment="1" applyProtection="1">
      <alignment horizontal="left" vertical="center"/>
      <protection locked="0"/>
    </xf>
    <xf numFmtId="3" fontId="0" fillId="8" borderId="35" xfId="22" applyNumberFormat="1" applyFont="1" applyFill="1" applyBorder="1" applyAlignment="1" applyProtection="1">
      <alignment horizontal="left" vertical="center"/>
      <protection locked="0"/>
    </xf>
    <xf numFmtId="3" fontId="0" fillId="0" borderId="36" xfId="22" applyNumberFormat="1" applyFont="1" applyFill="1" applyBorder="1" applyAlignment="1" applyProtection="1">
      <alignment horizontal="left" vertical="center"/>
      <protection/>
    </xf>
    <xf numFmtId="3" fontId="0" fillId="2" borderId="37" xfId="22" applyNumberFormat="1" applyFont="1" applyFill="1" applyBorder="1" applyAlignment="1" applyProtection="1">
      <alignment horizontal="left" vertical="center"/>
      <protection/>
    </xf>
    <xf numFmtId="3" fontId="0" fillId="6" borderId="38" xfId="22" applyNumberFormat="1" applyFont="1" applyFill="1" applyBorder="1" applyAlignment="1" applyProtection="1">
      <alignment horizontal="left" vertical="center"/>
      <protection locked="0"/>
    </xf>
    <xf numFmtId="3" fontId="0" fillId="6" borderId="39" xfId="22" applyNumberFormat="1" applyFont="1" applyFill="1" applyBorder="1" applyAlignment="1" applyProtection="1">
      <alignment horizontal="left" vertical="center"/>
      <protection locked="0"/>
    </xf>
    <xf numFmtId="3" fontId="0" fillId="6" borderId="35" xfId="22" applyNumberFormat="1" applyFont="1" applyFill="1" applyBorder="1" applyAlignment="1" applyProtection="1">
      <alignment horizontal="left" vertical="center"/>
      <protection locked="0"/>
    </xf>
    <xf numFmtId="3" fontId="0" fillId="6" borderId="40" xfId="22" applyNumberFormat="1" applyFont="1" applyFill="1" applyBorder="1" applyAlignment="1" applyProtection="1">
      <alignment horizontal="left" vertical="center"/>
      <protection locked="0"/>
    </xf>
    <xf numFmtId="3" fontId="0" fillId="6" borderId="20" xfId="22" applyNumberFormat="1" applyFont="1" applyFill="1" applyBorder="1" applyAlignment="1" applyProtection="1">
      <alignment horizontal="left" vertical="center"/>
      <protection locked="0"/>
    </xf>
    <xf numFmtId="3" fontId="0" fillId="6" borderId="41" xfId="22" applyNumberFormat="1" applyFont="1" applyFill="1" applyBorder="1" applyAlignment="1" applyProtection="1">
      <alignment horizontal="left" vertical="center"/>
      <protection locked="0"/>
    </xf>
    <xf numFmtId="0" fontId="18" fillId="0" borderId="42" xfId="22" applyFont="1" applyBorder="1" applyAlignment="1" applyProtection="1">
      <alignment horizontal="left" vertical="center"/>
      <protection locked="0"/>
    </xf>
    <xf numFmtId="0" fontId="20" fillId="0" borderId="43" xfId="22" applyFont="1" applyBorder="1" applyAlignment="1" applyProtection="1">
      <alignment horizontal="center" vertical="center"/>
      <protection locked="0"/>
    </xf>
    <xf numFmtId="3" fontId="20" fillId="0" borderId="44" xfId="22" applyNumberFormat="1" applyFont="1" applyBorder="1" applyAlignment="1" applyProtection="1">
      <alignment horizontal="center" vertical="center"/>
      <protection locked="0"/>
    </xf>
    <xf numFmtId="9" fontId="20" fillId="0" borderId="44" xfId="22" applyNumberFormat="1" applyFont="1" applyBorder="1" applyAlignment="1" applyProtection="1">
      <alignment horizontal="center" vertical="center"/>
      <protection locked="0"/>
    </xf>
    <xf numFmtId="3" fontId="20" fillId="0" borderId="45" xfId="22" applyNumberFormat="1" applyFont="1" applyBorder="1" applyAlignment="1" applyProtection="1">
      <alignment horizontal="center" vertical="center"/>
      <protection locked="0"/>
    </xf>
    <xf numFmtId="175" fontId="20" fillId="0" borderId="45" xfId="22" applyNumberFormat="1" applyFont="1" applyBorder="1" applyAlignment="1" applyProtection="1">
      <alignment horizontal="center" vertical="center"/>
      <protection locked="0"/>
    </xf>
    <xf numFmtId="0" fontId="0" fillId="0" borderId="30" xfId="22" applyFont="1" applyFill="1" applyBorder="1" applyAlignment="1" applyProtection="1">
      <alignment horizontal="center" vertical="center" wrapText="1"/>
      <protection/>
    </xf>
    <xf numFmtId="0" fontId="20" fillId="0" borderId="46" xfId="22" applyFont="1" applyBorder="1" applyAlignment="1" applyProtection="1">
      <alignment horizontal="center" vertical="center"/>
      <protection locked="0"/>
    </xf>
    <xf numFmtId="49" fontId="13" fillId="0" borderId="47" xfId="0" applyNumberFormat="1" applyFont="1" applyBorder="1" applyAlignment="1" applyProtection="1">
      <alignment horizontal="center" vertical="center"/>
      <protection/>
    </xf>
    <xf numFmtId="0" fontId="0" fillId="2" borderId="48" xfId="22" applyFont="1" applyFill="1" applyBorder="1" applyAlignment="1" applyProtection="1">
      <alignment horizontal="center" vertical="center" wrapText="1"/>
      <protection/>
    </xf>
    <xf numFmtId="0" fontId="0" fillId="2" borderId="49" xfId="22" applyFont="1" applyFill="1" applyBorder="1" applyAlignment="1" applyProtection="1">
      <alignment horizontal="center" vertical="center" wrapText="1"/>
      <protection/>
    </xf>
    <xf numFmtId="2" fontId="20" fillId="0" borderId="44" xfId="22" applyNumberFormat="1" applyFont="1" applyBorder="1" applyAlignment="1" applyProtection="1">
      <alignment horizontal="center" vertical="center"/>
      <protection locked="0"/>
    </xf>
    <xf numFmtId="0" fontId="4" fillId="0" borderId="0" xfId="22" applyFont="1" applyFill="1" applyProtection="1">
      <alignment/>
      <protection locked="0"/>
    </xf>
    <xf numFmtId="0" fontId="0" fillId="0" borderId="0" xfId="22" applyFont="1" applyFill="1" applyBorder="1" applyProtection="1">
      <alignment/>
      <protection/>
    </xf>
    <xf numFmtId="0" fontId="0" fillId="0" borderId="0" xfId="0" applyFont="1" applyFill="1" applyBorder="1" applyAlignment="1" applyProtection="1">
      <alignment horizontal="center" vertical="center" textRotation="90"/>
      <protection/>
    </xf>
    <xf numFmtId="0" fontId="0" fillId="0" borderId="0" xfId="22" applyFont="1" applyFill="1" applyBorder="1" applyAlignment="1" applyProtection="1">
      <alignment horizontal="left" vertical="center" wrapText="1"/>
      <protection/>
    </xf>
    <xf numFmtId="0" fontId="0" fillId="0" borderId="0" xfId="22" applyFont="1" applyFill="1" applyBorder="1" applyAlignment="1" applyProtection="1">
      <alignment horizontal="center" vertical="center" wrapText="1"/>
      <protection/>
    </xf>
    <xf numFmtId="1" fontId="0" fillId="0" borderId="0" xfId="22" applyNumberFormat="1" applyFont="1" applyFill="1" applyBorder="1" applyAlignment="1" applyProtection="1">
      <alignment vertical="center"/>
      <protection/>
    </xf>
    <xf numFmtId="1" fontId="0" fillId="0" borderId="0" xfId="22" applyNumberFormat="1" applyFont="1" applyFill="1" applyBorder="1" applyAlignment="1" applyProtection="1">
      <alignment horizontal="right" vertical="center"/>
      <protection/>
    </xf>
    <xf numFmtId="173" fontId="0" fillId="0" borderId="0" xfId="22" applyNumberFormat="1" applyFont="1" applyFill="1" applyBorder="1" applyAlignment="1" applyProtection="1">
      <alignment horizontal="right" vertical="center"/>
      <protection/>
    </xf>
    <xf numFmtId="3" fontId="4" fillId="0" borderId="0" xfId="22" applyNumberFormat="1" applyFont="1" applyFill="1" applyProtection="1">
      <alignment/>
      <protection/>
    </xf>
    <xf numFmtId="173" fontId="23" fillId="0" borderId="50" xfId="22" applyNumberFormat="1" applyFont="1" applyFill="1" applyBorder="1" applyAlignment="1" applyProtection="1">
      <alignment horizontal="right" vertical="center" wrapText="1"/>
      <protection/>
    </xf>
    <xf numFmtId="173" fontId="0" fillId="8" borderId="51" xfId="22" applyNumberFormat="1" applyFont="1" applyFill="1" applyBorder="1" applyAlignment="1" applyProtection="1">
      <alignment vertical="center"/>
      <protection locked="0"/>
    </xf>
    <xf numFmtId="173" fontId="0" fillId="8" borderId="52" xfId="22" applyNumberFormat="1" applyFont="1" applyFill="1" applyBorder="1" applyAlignment="1" applyProtection="1">
      <alignment vertical="center"/>
      <protection locked="0"/>
    </xf>
    <xf numFmtId="173" fontId="0" fillId="8" borderId="53" xfId="22" applyNumberFormat="1" applyFont="1" applyFill="1" applyBorder="1" applyAlignment="1" applyProtection="1">
      <alignment vertical="center"/>
      <protection locked="0"/>
    </xf>
    <xf numFmtId="173" fontId="0" fillId="8" borderId="54" xfId="22" applyNumberFormat="1" applyFont="1" applyFill="1" applyBorder="1" applyAlignment="1" applyProtection="1">
      <alignment horizontal="right" vertical="center"/>
      <protection locked="0"/>
    </xf>
    <xf numFmtId="3" fontId="0" fillId="8" borderId="54" xfId="22" applyNumberFormat="1" applyFont="1" applyFill="1" applyBorder="1" applyAlignment="1" applyProtection="1">
      <alignment vertical="center"/>
      <protection locked="0"/>
    </xf>
    <xf numFmtId="173" fontId="0" fillId="8" borderId="55" xfId="22" applyNumberFormat="1" applyFont="1" applyFill="1" applyBorder="1" applyAlignment="1" applyProtection="1">
      <alignment vertical="center"/>
      <protection locked="0"/>
    </xf>
    <xf numFmtId="173" fontId="0" fillId="8" borderId="56" xfId="22" applyNumberFormat="1" applyFont="1" applyFill="1" applyBorder="1" applyAlignment="1" applyProtection="1">
      <alignment vertical="center"/>
      <protection locked="0"/>
    </xf>
    <xf numFmtId="173" fontId="0" fillId="8" borderId="57" xfId="22" applyNumberFormat="1" applyFont="1" applyFill="1" applyBorder="1" applyAlignment="1" applyProtection="1">
      <alignment vertical="center"/>
      <protection locked="0"/>
    </xf>
    <xf numFmtId="173" fontId="0" fillId="8" borderId="58" xfId="22" applyNumberFormat="1" applyFont="1" applyFill="1" applyBorder="1" applyAlignment="1" applyProtection="1">
      <alignment vertical="center"/>
      <protection locked="0"/>
    </xf>
    <xf numFmtId="0" fontId="0" fillId="0" borderId="0" xfId="22" applyFont="1" applyFill="1" applyProtection="1">
      <alignment/>
      <protection/>
    </xf>
    <xf numFmtId="0" fontId="0" fillId="2" borderId="0" xfId="22" applyFont="1" applyFill="1" applyBorder="1" applyAlignment="1" applyProtection="1">
      <alignment horizontal="center"/>
      <protection/>
    </xf>
    <xf numFmtId="0" fontId="0" fillId="2" borderId="0" xfId="22" applyFont="1" applyFill="1" applyBorder="1" applyAlignment="1" applyProtection="1">
      <alignment horizontal="left" vertical="top" wrapText="1"/>
      <protection/>
    </xf>
    <xf numFmtId="1" fontId="0" fillId="2" borderId="0" xfId="22" applyNumberFormat="1" applyFont="1" applyFill="1" applyBorder="1" applyProtection="1">
      <alignment/>
      <protection/>
    </xf>
    <xf numFmtId="173" fontId="0" fillId="2" borderId="0" xfId="22" applyNumberFormat="1" applyFont="1" applyFill="1" applyBorder="1" applyProtection="1">
      <alignment/>
      <protection/>
    </xf>
    <xf numFmtId="173" fontId="0" fillId="0" borderId="47" xfId="22" applyNumberFormat="1" applyFont="1" applyFill="1" applyBorder="1" applyProtection="1">
      <alignment/>
      <protection/>
    </xf>
    <xf numFmtId="173" fontId="0" fillId="0" borderId="0" xfId="22" applyNumberFormat="1" applyFont="1" applyFill="1" applyBorder="1" applyProtection="1">
      <alignment/>
      <protection/>
    </xf>
    <xf numFmtId="174" fontId="0" fillId="0" borderId="0" xfId="22" applyNumberFormat="1" applyFont="1" applyBorder="1" applyProtection="1">
      <alignment/>
      <protection/>
    </xf>
    <xf numFmtId="0" fontId="0" fillId="0" borderId="47" xfId="22" applyFont="1" applyBorder="1" applyProtection="1">
      <alignment/>
      <protection/>
    </xf>
    <xf numFmtId="49" fontId="13" fillId="0" borderId="0" xfId="0" applyNumberFormat="1" applyFont="1" applyBorder="1" applyAlignment="1" applyProtection="1">
      <alignment horizontal="center" vertical="center"/>
      <protection/>
    </xf>
    <xf numFmtId="49" fontId="11" fillId="0" borderId="0" xfId="22" applyNumberFormat="1" applyFont="1" applyBorder="1" applyAlignment="1" applyProtection="1">
      <alignment horizontal="center" vertical="center"/>
      <protection/>
    </xf>
    <xf numFmtId="0" fontId="12" fillId="0" borderId="0" xfId="22" applyFont="1" applyBorder="1" applyAlignment="1" applyProtection="1">
      <alignment horizontal="center" vertical="center"/>
      <protection/>
    </xf>
    <xf numFmtId="0" fontId="24" fillId="0" borderId="0" xfId="0" applyFont="1" applyBorder="1" applyAlignment="1" applyProtection="1">
      <alignment horizontal="center" vertical="center" wrapText="1"/>
      <protection/>
    </xf>
    <xf numFmtId="0" fontId="24" fillId="0" borderId="0" xfId="0" applyFont="1" applyBorder="1" applyAlignment="1" applyProtection="1">
      <alignment horizontal="center" vertical="center"/>
      <protection/>
    </xf>
    <xf numFmtId="0" fontId="0" fillId="0" borderId="0" xfId="0" applyFont="1" applyBorder="1" applyAlignment="1" applyProtection="1">
      <alignment horizontal="center"/>
      <protection/>
    </xf>
    <xf numFmtId="0" fontId="26" fillId="0" borderId="0" xfId="22" applyFont="1" applyBorder="1" applyProtection="1">
      <alignment/>
      <protection/>
    </xf>
    <xf numFmtId="0" fontId="0" fillId="6" borderId="5" xfId="22" applyFont="1" applyFill="1" applyBorder="1" applyAlignment="1" applyProtection="1">
      <alignment/>
      <protection/>
    </xf>
    <xf numFmtId="0" fontId="0" fillId="0" borderId="18" xfId="0" applyBorder="1" applyAlignment="1" applyProtection="1">
      <alignment/>
      <protection/>
    </xf>
    <xf numFmtId="0" fontId="0" fillId="0" borderId="59" xfId="0" applyBorder="1" applyAlignment="1" applyProtection="1">
      <alignment/>
      <protection/>
    </xf>
    <xf numFmtId="173" fontId="0" fillId="8" borderId="5" xfId="22" applyNumberFormat="1" applyFont="1" applyFill="1" applyBorder="1" applyAlignment="1" applyProtection="1">
      <alignment vertical="center"/>
      <protection locked="0"/>
    </xf>
    <xf numFmtId="173" fontId="0" fillId="0" borderId="0" xfId="22" applyNumberFormat="1" applyFont="1" applyFill="1" applyBorder="1" applyProtection="1">
      <alignment/>
      <protection locked="0"/>
    </xf>
    <xf numFmtId="1" fontId="0" fillId="0" borderId="0" xfId="0" applyNumberFormat="1" applyBorder="1" applyAlignment="1" applyProtection="1">
      <alignment/>
      <protection/>
    </xf>
    <xf numFmtId="0" fontId="0" fillId="0" borderId="0" xfId="0" applyBorder="1" applyAlignment="1" applyProtection="1">
      <alignment/>
      <protection/>
    </xf>
    <xf numFmtId="0" fontId="0" fillId="0" borderId="60" xfId="0" applyBorder="1" applyAlignment="1" applyProtection="1">
      <alignment/>
      <protection/>
    </xf>
    <xf numFmtId="0" fontId="4" fillId="0" borderId="0" xfId="22" applyFont="1" applyBorder="1" applyProtection="1">
      <alignment/>
      <protection locked="0"/>
    </xf>
    <xf numFmtId="0" fontId="27" fillId="0" borderId="0" xfId="22" applyFont="1" applyProtection="1">
      <alignment/>
      <protection locked="0"/>
    </xf>
    <xf numFmtId="0" fontId="3" fillId="0" borderId="0" xfId="22" applyFont="1" applyBorder="1" applyAlignment="1" applyProtection="1">
      <alignment/>
      <protection/>
    </xf>
    <xf numFmtId="0" fontId="0" fillId="0" borderId="61" xfId="22" applyFont="1" applyBorder="1" applyAlignment="1" applyProtection="1">
      <alignment/>
      <protection/>
    </xf>
    <xf numFmtId="0" fontId="27" fillId="0" borderId="0" xfId="22" applyFont="1" applyBorder="1" applyProtection="1">
      <alignment/>
      <protection locked="0"/>
    </xf>
    <xf numFmtId="0" fontId="5" fillId="0" borderId="0" xfId="22" applyFont="1" applyBorder="1" applyAlignment="1" applyProtection="1">
      <alignment horizontal="center" vertical="center"/>
      <protection locked="0"/>
    </xf>
    <xf numFmtId="0" fontId="27" fillId="0" borderId="0" xfId="22" applyFont="1" applyAlignment="1" applyProtection="1">
      <alignment wrapText="1"/>
      <protection locked="0"/>
    </xf>
    <xf numFmtId="1" fontId="27" fillId="0" borderId="0" xfId="22" applyNumberFormat="1" applyFont="1" applyProtection="1">
      <alignment/>
      <protection locked="0"/>
    </xf>
    <xf numFmtId="1" fontId="4" fillId="0" borderId="0" xfId="22" applyNumberFormat="1" applyFont="1" applyProtection="1">
      <alignment/>
      <protection locked="0"/>
    </xf>
    <xf numFmtId="0" fontId="3" fillId="0" borderId="0" xfId="22" applyFont="1" applyBorder="1" applyAlignment="1" applyProtection="1">
      <alignment/>
      <protection locked="0"/>
    </xf>
    <xf numFmtId="1" fontId="27" fillId="0" borderId="0" xfId="22" applyNumberFormat="1" applyFont="1" applyAlignment="1" applyProtection="1">
      <alignment horizontal="center"/>
      <protection locked="0"/>
    </xf>
    <xf numFmtId="0" fontId="20" fillId="0" borderId="0" xfId="22" applyFont="1" applyAlignment="1" applyProtection="1">
      <alignment wrapText="1"/>
      <protection locked="0"/>
    </xf>
    <xf numFmtId="1" fontId="20" fillId="0" borderId="0" xfId="22" applyNumberFormat="1" applyFont="1" applyProtection="1">
      <alignment/>
      <protection locked="0"/>
    </xf>
    <xf numFmtId="173" fontId="20" fillId="0" borderId="0" xfId="22" applyNumberFormat="1" applyFont="1" applyProtection="1">
      <alignment/>
      <protection locked="0"/>
    </xf>
    <xf numFmtId="0" fontId="4" fillId="0" borderId="0" xfId="22" applyFont="1" applyAlignment="1" applyProtection="1">
      <alignment wrapText="1"/>
      <protection locked="0"/>
    </xf>
    <xf numFmtId="2" fontId="27" fillId="0" borderId="0" xfId="22" applyNumberFormat="1" applyFont="1" applyAlignment="1" applyProtection="1">
      <alignment horizontal="center"/>
      <protection locked="0"/>
    </xf>
    <xf numFmtId="0" fontId="4" fillId="0" borderId="0" xfId="22" applyFont="1" applyFill="1" applyAlignment="1" applyProtection="1">
      <alignment wrapText="1"/>
      <protection locked="0"/>
    </xf>
    <xf numFmtId="2" fontId="4" fillId="0" borderId="0" xfId="22" applyNumberFormat="1" applyFont="1" applyAlignment="1" applyProtection="1">
      <alignment horizontal="center"/>
      <protection locked="0"/>
    </xf>
    <xf numFmtId="1" fontId="4" fillId="0" borderId="0" xfId="22" applyNumberFormat="1" applyFont="1" applyAlignment="1" applyProtection="1">
      <alignment horizontal="center"/>
      <protection locked="0"/>
    </xf>
    <xf numFmtId="0" fontId="4" fillId="0" borderId="0" xfId="22" applyFont="1" applyBorder="1" applyAlignment="1" applyProtection="1">
      <alignment wrapText="1"/>
      <protection locked="0"/>
    </xf>
    <xf numFmtId="1" fontId="4" fillId="0" borderId="0" xfId="22" applyNumberFormat="1" applyFont="1" applyBorder="1" applyProtection="1">
      <alignment/>
      <protection locked="0"/>
    </xf>
    <xf numFmtId="1" fontId="4" fillId="0" borderId="0" xfId="22" applyNumberFormat="1" applyFont="1" applyBorder="1" applyAlignment="1" applyProtection="1">
      <alignment horizontal="center"/>
      <protection locked="0"/>
    </xf>
    <xf numFmtId="0" fontId="29" fillId="0" borderId="0" xfId="22" applyFont="1" applyBorder="1" applyAlignment="1" applyProtection="1">
      <alignment horizontal="left" vertical="center"/>
      <protection locked="0"/>
    </xf>
    <xf numFmtId="1" fontId="4" fillId="0" borderId="0" xfId="22" applyNumberFormat="1" applyFont="1" applyBorder="1" applyAlignment="1" applyProtection="1" quotePrefix="1">
      <alignment horizontal="center" vertical="center"/>
      <protection locked="0"/>
    </xf>
    <xf numFmtId="1" fontId="30" fillId="0" borderId="0" xfId="22" applyNumberFormat="1" applyFont="1" applyBorder="1" applyAlignment="1" applyProtection="1">
      <alignment horizontal="right" vertical="center"/>
      <protection locked="0"/>
    </xf>
    <xf numFmtId="0" fontId="29" fillId="0" borderId="0" xfId="22" applyFont="1" applyBorder="1" applyAlignment="1" applyProtection="1">
      <alignment horizontal="left" vertical="center" indent="1"/>
      <protection locked="0"/>
    </xf>
    <xf numFmtId="0" fontId="29" fillId="0" borderId="0" xfId="22" applyFont="1" applyBorder="1" applyAlignment="1" applyProtection="1">
      <alignment horizontal="left" vertical="center" indent="2"/>
      <protection locked="0"/>
    </xf>
    <xf numFmtId="0" fontId="29" fillId="0" borderId="0" xfId="22" applyFont="1" applyBorder="1" applyAlignment="1" applyProtection="1">
      <alignment horizontal="left" vertical="center" indent="3"/>
      <protection locked="0"/>
    </xf>
    <xf numFmtId="0" fontId="29" fillId="0" borderId="0" xfId="22" applyFont="1" applyBorder="1" applyAlignment="1" applyProtection="1" quotePrefix="1">
      <alignment horizontal="left" vertical="center" indent="1"/>
      <protection locked="0"/>
    </xf>
    <xf numFmtId="0" fontId="29" fillId="0" borderId="0" xfId="22" applyFont="1" applyBorder="1" applyAlignment="1" applyProtection="1" quotePrefix="1">
      <alignment horizontal="left" vertical="center" indent="2"/>
      <protection locked="0"/>
    </xf>
    <xf numFmtId="1" fontId="4" fillId="0" borderId="0" xfId="22" applyNumberFormat="1" applyFont="1" applyFill="1" applyBorder="1" applyAlignment="1" applyProtection="1">
      <alignment horizontal="center" vertical="center"/>
      <protection locked="0"/>
    </xf>
    <xf numFmtId="3" fontId="0" fillId="8" borderId="13" xfId="22" applyNumberFormat="1" applyFont="1" applyFill="1" applyBorder="1" applyAlignment="1" applyProtection="1">
      <alignment vertical="center"/>
      <protection locked="0"/>
    </xf>
    <xf numFmtId="3" fontId="0" fillId="8" borderId="62" xfId="22" applyNumberFormat="1" applyFont="1" applyFill="1" applyBorder="1" applyAlignment="1" applyProtection="1">
      <alignment vertical="center"/>
      <protection locked="0"/>
    </xf>
    <xf numFmtId="3" fontId="0" fillId="8" borderId="63" xfId="22" applyNumberFormat="1" applyFont="1" applyFill="1" applyBorder="1" applyAlignment="1" applyProtection="1">
      <alignment vertical="center"/>
      <protection locked="0"/>
    </xf>
    <xf numFmtId="3" fontId="0" fillId="6" borderId="64" xfId="22" applyNumberFormat="1" applyFont="1" applyFill="1" applyBorder="1" applyAlignment="1" applyProtection="1">
      <alignment vertical="center"/>
      <protection locked="0"/>
    </xf>
    <xf numFmtId="3" fontId="0" fillId="6" borderId="65" xfId="22" applyNumberFormat="1" applyFont="1" applyFill="1" applyBorder="1" applyAlignment="1" applyProtection="1">
      <alignment vertical="center"/>
      <protection locked="0"/>
    </xf>
    <xf numFmtId="3" fontId="0" fillId="6" borderId="66" xfId="22" applyNumberFormat="1" applyFont="1" applyFill="1" applyBorder="1" applyAlignment="1" applyProtection="1">
      <alignment vertical="center"/>
      <protection locked="0"/>
    </xf>
    <xf numFmtId="3" fontId="0" fillId="8" borderId="19" xfId="22" applyNumberFormat="1" applyFont="1" applyFill="1" applyBorder="1" applyAlignment="1" applyProtection="1">
      <alignment vertical="center"/>
      <protection locked="0"/>
    </xf>
    <xf numFmtId="3" fontId="0" fillId="8" borderId="67" xfId="22" applyNumberFormat="1" applyFont="1" applyFill="1" applyBorder="1" applyAlignment="1" applyProtection="1">
      <alignment vertical="center"/>
      <protection locked="0"/>
    </xf>
    <xf numFmtId="3" fontId="0" fillId="8" borderId="68" xfId="22" applyNumberFormat="1" applyFont="1" applyFill="1" applyBorder="1" applyAlignment="1" applyProtection="1">
      <alignment vertical="center"/>
      <protection locked="0"/>
    </xf>
    <xf numFmtId="3" fontId="17" fillId="0" borderId="36" xfId="22" applyNumberFormat="1" applyFont="1" applyFill="1" applyBorder="1" applyAlignment="1" applyProtection="1">
      <alignment vertical="center"/>
      <protection/>
    </xf>
    <xf numFmtId="3" fontId="0" fillId="6" borderId="20" xfId="22" applyNumberFormat="1" applyFont="1" applyFill="1" applyBorder="1" applyAlignment="1" applyProtection="1">
      <alignment vertical="center"/>
      <protection locked="0"/>
    </xf>
    <xf numFmtId="3" fontId="0" fillId="6" borderId="40" xfId="22" applyNumberFormat="1" applyFont="1" applyFill="1" applyBorder="1" applyAlignment="1" applyProtection="1">
      <alignment vertical="center"/>
      <protection locked="0"/>
    </xf>
    <xf numFmtId="3" fontId="0" fillId="6" borderId="41" xfId="22" applyNumberFormat="1" applyFont="1" applyFill="1" applyBorder="1" applyAlignment="1" applyProtection="1">
      <alignment vertical="center"/>
      <protection locked="0"/>
    </xf>
    <xf numFmtId="3" fontId="0" fillId="6" borderId="67" xfId="22" applyNumberFormat="1" applyFont="1" applyFill="1" applyBorder="1" applyAlignment="1" applyProtection="1">
      <alignment vertical="center"/>
      <protection locked="0"/>
    </xf>
    <xf numFmtId="3" fontId="0" fillId="6" borderId="69" xfId="22" applyNumberFormat="1" applyFont="1" applyFill="1" applyBorder="1" applyAlignment="1" applyProtection="1">
      <alignment vertical="center"/>
      <protection locked="0"/>
    </xf>
    <xf numFmtId="3" fontId="0" fillId="6" borderId="20" xfId="22" applyNumberFormat="1" applyFont="1" applyFill="1" applyBorder="1" applyAlignment="1" applyProtection="1">
      <alignment horizontal="right" vertical="center"/>
      <protection locked="0"/>
    </xf>
    <xf numFmtId="3" fontId="0" fillId="8" borderId="70" xfId="22" applyNumberFormat="1" applyFont="1" applyFill="1" applyBorder="1" applyAlignment="1" applyProtection="1">
      <alignment vertical="center"/>
      <protection locked="0"/>
    </xf>
    <xf numFmtId="3" fontId="0" fillId="6" borderId="69" xfId="22" applyNumberFormat="1" applyFont="1" applyFill="1" applyBorder="1" applyAlignment="1" applyProtection="1">
      <alignment horizontal="right" vertical="center"/>
      <protection locked="0"/>
    </xf>
    <xf numFmtId="3" fontId="0" fillId="6" borderId="10" xfId="22" applyNumberFormat="1" applyFont="1" applyFill="1" applyBorder="1" applyAlignment="1" applyProtection="1">
      <alignment vertical="center"/>
      <protection locked="0"/>
    </xf>
    <xf numFmtId="3" fontId="0" fillId="6" borderId="11" xfId="22" applyNumberFormat="1" applyFont="1" applyFill="1" applyBorder="1" applyAlignment="1" applyProtection="1">
      <alignment vertical="center"/>
      <protection locked="0"/>
    </xf>
    <xf numFmtId="3" fontId="0" fillId="8" borderId="71" xfId="22" applyNumberFormat="1" applyFont="1" applyFill="1" applyBorder="1" applyAlignment="1" applyProtection="1">
      <alignment vertical="center"/>
      <protection locked="0"/>
    </xf>
    <xf numFmtId="3" fontId="0" fillId="8" borderId="34" xfId="22" applyNumberFormat="1" applyFont="1" applyFill="1" applyBorder="1" applyAlignment="1" applyProtection="1">
      <alignment vertical="center"/>
      <protection locked="0"/>
    </xf>
    <xf numFmtId="3" fontId="0" fillId="8" borderId="35" xfId="22" applyNumberFormat="1" applyFont="1" applyFill="1" applyBorder="1" applyAlignment="1" applyProtection="1">
      <alignment vertical="center"/>
      <protection locked="0"/>
    </xf>
    <xf numFmtId="3" fontId="0" fillId="6" borderId="72" xfId="22" applyNumberFormat="1" applyFont="1" applyFill="1" applyBorder="1" applyAlignment="1" applyProtection="1">
      <alignment vertical="center"/>
      <protection locked="0"/>
    </xf>
    <xf numFmtId="3" fontId="33" fillId="0" borderId="73" xfId="22" applyNumberFormat="1" applyFont="1" applyFill="1" applyBorder="1" applyAlignment="1" applyProtection="1">
      <alignment vertical="center"/>
      <protection/>
    </xf>
    <xf numFmtId="3" fontId="0" fillId="0" borderId="0" xfId="22" applyNumberFormat="1" applyFont="1" applyFill="1" applyBorder="1" applyAlignment="1" applyProtection="1">
      <alignment vertical="center"/>
      <protection/>
    </xf>
    <xf numFmtId="3" fontId="0" fillId="8" borderId="51" xfId="22" applyNumberFormat="1" applyFont="1" applyFill="1" applyBorder="1" applyAlignment="1" applyProtection="1">
      <alignment vertical="center"/>
      <protection locked="0"/>
    </xf>
    <xf numFmtId="3" fontId="17" fillId="8" borderId="54" xfId="22" applyNumberFormat="1" applyFont="1" applyFill="1" applyBorder="1" applyAlignment="1" applyProtection="1">
      <alignment horizontal="right" vertical="center"/>
      <protection locked="0"/>
    </xf>
    <xf numFmtId="3" fontId="17" fillId="0" borderId="74" xfId="22" applyNumberFormat="1" applyFont="1" applyFill="1" applyBorder="1" applyAlignment="1" applyProtection="1">
      <alignment/>
      <protection/>
    </xf>
    <xf numFmtId="3" fontId="0" fillId="6" borderId="63" xfId="22" applyNumberFormat="1" applyFont="1" applyFill="1" applyBorder="1" applyAlignment="1" applyProtection="1">
      <alignment horizontal="right" vertical="center"/>
      <protection locked="0"/>
    </xf>
    <xf numFmtId="3" fontId="0" fillId="6" borderId="75" xfId="22" applyNumberFormat="1" applyFont="1" applyFill="1" applyBorder="1" applyAlignment="1" applyProtection="1">
      <alignment vertical="center"/>
      <protection locked="0"/>
    </xf>
    <xf numFmtId="3" fontId="0" fillId="6" borderId="65" xfId="22" applyNumberFormat="1" applyFont="1" applyFill="1" applyBorder="1" applyAlignment="1" applyProtection="1">
      <alignment/>
      <protection locked="0"/>
    </xf>
    <xf numFmtId="3" fontId="0" fillId="6" borderId="76" xfId="22" applyNumberFormat="1" applyFont="1" applyFill="1" applyBorder="1" applyAlignment="1" applyProtection="1">
      <alignment/>
      <protection locked="0"/>
    </xf>
    <xf numFmtId="3" fontId="0" fillId="6" borderId="75" xfId="22" applyNumberFormat="1" applyFont="1" applyFill="1" applyBorder="1" applyAlignment="1" applyProtection="1">
      <alignment/>
      <protection locked="0"/>
    </xf>
    <xf numFmtId="3" fontId="0" fillId="8" borderId="77" xfId="22" applyNumberFormat="1" applyFont="1" applyFill="1" applyBorder="1" applyAlignment="1" applyProtection="1">
      <alignment vertical="center"/>
      <protection locked="0"/>
    </xf>
    <xf numFmtId="3" fontId="0" fillId="0" borderId="78" xfId="22" applyNumberFormat="1" applyFont="1" applyFill="1" applyBorder="1" applyAlignment="1" applyProtection="1">
      <alignment/>
      <protection/>
    </xf>
    <xf numFmtId="3" fontId="0" fillId="2" borderId="79" xfId="22" applyNumberFormat="1" applyFont="1" applyFill="1" applyBorder="1" applyAlignment="1" applyProtection="1">
      <alignment horizontal="right" vertical="center"/>
      <protection/>
    </xf>
    <xf numFmtId="3" fontId="0" fillId="2" borderId="80" xfId="22" applyNumberFormat="1" applyFont="1" applyFill="1" applyBorder="1" applyAlignment="1" applyProtection="1">
      <alignment horizontal="right" vertical="center"/>
      <protection/>
    </xf>
    <xf numFmtId="3" fontId="0" fillId="2" borderId="37" xfId="22" applyNumberFormat="1" applyFont="1" applyFill="1" applyBorder="1" applyAlignment="1" applyProtection="1">
      <alignment horizontal="right" vertical="center"/>
      <protection/>
    </xf>
    <xf numFmtId="3" fontId="0" fillId="2" borderId="81" xfId="22" applyNumberFormat="1" applyFont="1" applyFill="1" applyBorder="1" applyAlignment="1" applyProtection="1">
      <alignment horizontal="right" vertical="center"/>
      <protection/>
    </xf>
    <xf numFmtId="3" fontId="0" fillId="2" borderId="82" xfId="22" applyNumberFormat="1" applyFont="1" applyFill="1" applyBorder="1" applyAlignment="1" applyProtection="1">
      <alignment horizontal="right" vertical="center"/>
      <protection/>
    </xf>
    <xf numFmtId="3" fontId="0" fillId="6" borderId="68" xfId="22" applyNumberFormat="1" applyFont="1" applyFill="1" applyBorder="1" applyAlignment="1" applyProtection="1">
      <alignment horizontal="right" vertical="center"/>
      <protection locked="0"/>
    </xf>
    <xf numFmtId="3" fontId="0" fillId="8" borderId="28" xfId="22" applyNumberFormat="1" applyFont="1" applyFill="1" applyBorder="1" applyAlignment="1" applyProtection="1">
      <alignment vertical="center"/>
      <protection locked="0"/>
    </xf>
    <xf numFmtId="3" fontId="0" fillId="6" borderId="67" xfId="22" applyNumberFormat="1" applyFont="1" applyFill="1" applyBorder="1" applyAlignment="1" applyProtection="1">
      <alignment/>
      <protection locked="0"/>
    </xf>
    <xf numFmtId="3" fontId="0" fillId="6" borderId="7" xfId="22" applyNumberFormat="1" applyFont="1" applyFill="1" applyBorder="1" applyAlignment="1" applyProtection="1">
      <alignment vertical="center"/>
      <protection locked="0"/>
    </xf>
    <xf numFmtId="3" fontId="0" fillId="6" borderId="4" xfId="22" applyNumberFormat="1" applyFont="1" applyFill="1" applyBorder="1" applyAlignment="1" applyProtection="1">
      <alignment vertical="center"/>
      <protection locked="0"/>
    </xf>
    <xf numFmtId="3" fontId="0" fillId="6" borderId="8" xfId="22" applyNumberFormat="1" applyFont="1" applyFill="1" applyBorder="1" applyAlignment="1" applyProtection="1">
      <alignment vertical="center"/>
      <protection locked="0"/>
    </xf>
    <xf numFmtId="3" fontId="0" fillId="6" borderId="38" xfId="22" applyNumberFormat="1" applyFont="1" applyFill="1" applyBorder="1" applyAlignment="1" applyProtection="1">
      <alignment horizontal="right" vertical="center"/>
      <protection locked="0"/>
    </xf>
    <xf numFmtId="3" fontId="0" fillId="6" borderId="39" xfId="22" applyNumberFormat="1" applyFont="1" applyFill="1" applyBorder="1" applyAlignment="1" applyProtection="1">
      <alignment horizontal="right" vertical="center"/>
      <protection locked="0"/>
    </xf>
    <xf numFmtId="3" fontId="0" fillId="6" borderId="35" xfId="22" applyNumberFormat="1" applyFont="1" applyFill="1" applyBorder="1" applyAlignment="1" applyProtection="1">
      <alignment horizontal="right" vertical="center"/>
      <protection locked="0"/>
    </xf>
    <xf numFmtId="3" fontId="0" fillId="2" borderId="83" xfId="22" applyNumberFormat="1" applyFont="1" applyFill="1" applyBorder="1" applyAlignment="1" applyProtection="1">
      <alignment horizontal="right" vertical="center"/>
      <protection/>
    </xf>
    <xf numFmtId="3" fontId="0" fillId="2" borderId="84" xfId="22" applyNumberFormat="1" applyFont="1" applyFill="1" applyBorder="1" applyAlignment="1" applyProtection="1">
      <alignment horizontal="right" vertical="center"/>
      <protection/>
    </xf>
    <xf numFmtId="3" fontId="0" fillId="2" borderId="85" xfId="22" applyNumberFormat="1" applyFont="1" applyFill="1" applyBorder="1" applyAlignment="1" applyProtection="1">
      <alignment horizontal="right" vertical="center"/>
      <protection/>
    </xf>
    <xf numFmtId="3" fontId="0" fillId="6" borderId="86" xfId="22" applyNumberFormat="1" applyFont="1" applyFill="1" applyBorder="1" applyAlignment="1" applyProtection="1">
      <alignment vertical="center"/>
      <protection locked="0"/>
    </xf>
    <xf numFmtId="3" fontId="0" fillId="6" borderId="87" xfId="22" applyNumberFormat="1" applyFont="1" applyFill="1" applyBorder="1" applyAlignment="1" applyProtection="1">
      <alignment vertical="center"/>
      <protection locked="0"/>
    </xf>
    <xf numFmtId="3" fontId="0" fillId="6" borderId="88" xfId="22" applyNumberFormat="1" applyFont="1" applyFill="1" applyBorder="1" applyAlignment="1" applyProtection="1">
      <alignment/>
      <protection locked="0"/>
    </xf>
    <xf numFmtId="3" fontId="0" fillId="6" borderId="89" xfId="22" applyNumberFormat="1" applyFont="1" applyFill="1" applyBorder="1" applyAlignment="1" applyProtection="1">
      <alignment vertical="center"/>
      <protection locked="0"/>
    </xf>
    <xf numFmtId="3" fontId="0" fillId="2" borderId="90" xfId="22" applyNumberFormat="1" applyFont="1" applyFill="1" applyBorder="1" applyAlignment="1" applyProtection="1">
      <alignment horizontal="right" vertical="center"/>
      <protection/>
    </xf>
    <xf numFmtId="3" fontId="0" fillId="6" borderId="91" xfId="22" applyNumberFormat="1" applyFont="1" applyFill="1" applyBorder="1" applyAlignment="1" applyProtection="1">
      <alignment vertical="center"/>
      <protection locked="0"/>
    </xf>
    <xf numFmtId="3" fontId="0" fillId="0" borderId="0" xfId="22" applyNumberFormat="1" applyFont="1" applyFill="1" applyBorder="1" applyAlignment="1" applyProtection="1">
      <alignment horizontal="right" vertical="center"/>
      <protection/>
    </xf>
    <xf numFmtId="3" fontId="4" fillId="0" borderId="0" xfId="22" applyNumberFormat="1" applyFont="1" applyFill="1" applyAlignment="1" applyProtection="1">
      <alignment/>
      <protection/>
    </xf>
    <xf numFmtId="3" fontId="23" fillId="0" borderId="50" xfId="22" applyNumberFormat="1" applyFont="1" applyFill="1" applyBorder="1" applyAlignment="1" applyProtection="1">
      <alignment horizontal="right" vertical="center" wrapText="1"/>
      <protection/>
    </xf>
    <xf numFmtId="3" fontId="0" fillId="8" borderId="52" xfId="22" applyNumberFormat="1" applyFont="1" applyFill="1" applyBorder="1" applyAlignment="1" applyProtection="1">
      <alignment vertical="center"/>
      <protection locked="0"/>
    </xf>
    <xf numFmtId="3" fontId="0" fillId="8" borderId="55" xfId="22" applyNumberFormat="1" applyFont="1" applyFill="1" applyBorder="1" applyAlignment="1" applyProtection="1">
      <alignment vertical="center"/>
      <protection locked="0"/>
    </xf>
    <xf numFmtId="3" fontId="0" fillId="8" borderId="56" xfId="22" applyNumberFormat="1" applyFont="1" applyFill="1" applyBorder="1" applyAlignment="1" applyProtection="1">
      <alignment vertical="center"/>
      <protection locked="0"/>
    </xf>
    <xf numFmtId="3" fontId="0" fillId="8" borderId="57" xfId="22" applyNumberFormat="1" applyFont="1" applyFill="1" applyBorder="1" applyAlignment="1" applyProtection="1">
      <alignment vertical="center"/>
      <protection locked="0"/>
    </xf>
    <xf numFmtId="3" fontId="0" fillId="8" borderId="58" xfId="22" applyNumberFormat="1" applyFont="1" applyFill="1" applyBorder="1" applyAlignment="1" applyProtection="1">
      <alignment vertical="center"/>
      <protection locked="0"/>
    </xf>
    <xf numFmtId="0" fontId="34" fillId="2" borderId="49" xfId="22" applyFont="1" applyFill="1" applyBorder="1" applyAlignment="1" applyProtection="1">
      <alignment horizontal="center" vertical="center" wrapText="1"/>
      <protection/>
    </xf>
    <xf numFmtId="3" fontId="0" fillId="0" borderId="0" xfId="0" applyNumberFormat="1" applyAlignment="1">
      <alignment/>
    </xf>
    <xf numFmtId="3" fontId="0" fillId="8" borderId="44" xfId="22" applyNumberFormat="1" applyFont="1" applyFill="1" applyBorder="1" applyAlignment="1" applyProtection="1">
      <alignment vertical="center"/>
      <protection locked="0"/>
    </xf>
    <xf numFmtId="3" fontId="0" fillId="0" borderId="76" xfId="22" applyNumberFormat="1" applyFont="1" applyFill="1" applyBorder="1" applyProtection="1">
      <alignment/>
      <protection/>
    </xf>
    <xf numFmtId="3" fontId="0" fillId="6" borderId="92" xfId="22" applyNumberFormat="1" applyFont="1" applyFill="1" applyBorder="1" applyAlignment="1" applyProtection="1">
      <alignment vertical="center"/>
      <protection locked="0"/>
    </xf>
    <xf numFmtId="3" fontId="0" fillId="6" borderId="75" xfId="22" applyNumberFormat="1" applyFont="1" applyFill="1" applyBorder="1" applyProtection="1">
      <alignment/>
      <protection locked="0"/>
    </xf>
    <xf numFmtId="3" fontId="0" fillId="0" borderId="41" xfId="22" applyNumberFormat="1" applyFont="1" applyFill="1" applyBorder="1" applyAlignment="1" applyProtection="1">
      <alignment vertical="center"/>
      <protection/>
    </xf>
    <xf numFmtId="3" fontId="0" fillId="6" borderId="39" xfId="22" applyNumberFormat="1" applyFont="1" applyFill="1" applyBorder="1" applyAlignment="1" applyProtection="1">
      <alignment vertical="center"/>
      <protection locked="0"/>
    </xf>
    <xf numFmtId="3" fontId="0" fillId="8" borderId="45" xfId="22" applyNumberFormat="1" applyFont="1" applyFill="1" applyBorder="1" applyAlignment="1" applyProtection="1">
      <alignment vertical="center"/>
      <protection locked="0"/>
    </xf>
    <xf numFmtId="3" fontId="0" fillId="8" borderId="93" xfId="22" applyNumberFormat="1" applyFont="1" applyFill="1" applyBorder="1" applyAlignment="1" applyProtection="1">
      <alignment vertical="center"/>
      <protection locked="0"/>
    </xf>
    <xf numFmtId="3" fontId="0" fillId="2" borderId="94" xfId="22" applyNumberFormat="1" applyFont="1" applyFill="1" applyBorder="1" applyAlignment="1" applyProtection="1">
      <alignment horizontal="right" vertical="center"/>
      <protection/>
    </xf>
    <xf numFmtId="3" fontId="0" fillId="2" borderId="95" xfId="22" applyNumberFormat="1" applyFont="1" applyFill="1" applyBorder="1" applyAlignment="1" applyProtection="1">
      <alignment horizontal="right" vertical="center"/>
      <protection/>
    </xf>
    <xf numFmtId="3" fontId="0" fillId="0" borderId="73" xfId="22" applyNumberFormat="1" applyFont="1" applyFill="1" applyBorder="1" applyAlignment="1" applyProtection="1">
      <alignment vertical="center"/>
      <protection/>
    </xf>
    <xf numFmtId="3" fontId="0" fillId="9" borderId="0" xfId="22" applyNumberFormat="1" applyFont="1" applyFill="1" applyBorder="1" applyAlignment="1" applyProtection="1">
      <alignment horizontal="right" vertical="center"/>
      <protection/>
    </xf>
    <xf numFmtId="3" fontId="0" fillId="8" borderId="53" xfId="22" applyNumberFormat="1" applyFont="1" applyFill="1" applyBorder="1" applyAlignment="1" applyProtection="1">
      <alignment vertical="center"/>
      <protection locked="0"/>
    </xf>
    <xf numFmtId="3" fontId="0" fillId="8" borderId="54" xfId="22" applyNumberFormat="1" applyFont="1" applyFill="1" applyBorder="1" applyAlignment="1" applyProtection="1">
      <alignment horizontal="right" vertical="center"/>
      <protection locked="0"/>
    </xf>
    <xf numFmtId="0" fontId="0" fillId="0" borderId="44" xfId="0" applyBorder="1" applyAlignment="1">
      <alignment/>
    </xf>
    <xf numFmtId="0" fontId="0" fillId="0" borderId="42" xfId="0" applyBorder="1" applyAlignment="1">
      <alignment/>
    </xf>
    <xf numFmtId="0" fontId="0" fillId="0" borderId="96"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100"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1" xfId="0" applyBorder="1" applyAlignment="1">
      <alignment horizontal="center"/>
    </xf>
    <xf numFmtId="0" fontId="0" fillId="0" borderId="102" xfId="0" applyBorder="1" applyAlignment="1">
      <alignment horizontal="center"/>
    </xf>
    <xf numFmtId="0" fontId="0" fillId="0" borderId="103" xfId="0" applyBorder="1" applyAlignment="1">
      <alignment horizontal="center"/>
    </xf>
    <xf numFmtId="0" fontId="0" fillId="0" borderId="104" xfId="0" applyFill="1" applyBorder="1" applyAlignment="1">
      <alignment horizontal="center"/>
    </xf>
    <xf numFmtId="0" fontId="0" fillId="0" borderId="105" xfId="0" applyBorder="1" applyAlignment="1">
      <alignment horizontal="center"/>
    </xf>
    <xf numFmtId="0" fontId="0" fillId="0" borderId="93" xfId="0" applyBorder="1" applyAlignment="1">
      <alignment horizontal="center"/>
    </xf>
    <xf numFmtId="0" fontId="0" fillId="0" borderId="106" xfId="0" applyBorder="1" applyAlignment="1">
      <alignment horizontal="center"/>
    </xf>
    <xf numFmtId="0" fontId="0" fillId="0" borderId="0" xfId="0" applyFill="1" applyBorder="1" applyAlignment="1">
      <alignment horizontal="center"/>
    </xf>
    <xf numFmtId="0" fontId="0" fillId="0" borderId="105" xfId="0" applyBorder="1" applyAlignment="1">
      <alignment/>
    </xf>
    <xf numFmtId="0" fontId="0" fillId="0" borderId="93" xfId="0" applyBorder="1" applyAlignment="1">
      <alignment/>
    </xf>
    <xf numFmtId="0" fontId="0" fillId="0" borderId="93" xfId="0" applyFill="1" applyBorder="1" applyAlignment="1">
      <alignment horizontal="center"/>
    </xf>
    <xf numFmtId="0" fontId="0" fillId="0" borderId="106" xfId="0" applyBorder="1" applyAlignment="1">
      <alignment/>
    </xf>
    <xf numFmtId="0" fontId="0" fillId="0" borderId="107" xfId="0" applyBorder="1" applyAlignment="1">
      <alignment horizontal="center"/>
    </xf>
    <xf numFmtId="0" fontId="0" fillId="0" borderId="108" xfId="0" applyBorder="1" applyAlignment="1">
      <alignment horizontal="center"/>
    </xf>
    <xf numFmtId="0" fontId="0" fillId="0" borderId="44" xfId="0" applyFont="1" applyBorder="1" applyAlignment="1">
      <alignment/>
    </xf>
    <xf numFmtId="0" fontId="0" fillId="0" borderId="109" xfId="0" applyBorder="1" applyAlignment="1">
      <alignment/>
    </xf>
    <xf numFmtId="176" fontId="0" fillId="0" borderId="101" xfId="17" applyNumberFormat="1" applyBorder="1" applyAlignment="1">
      <alignment/>
    </xf>
    <xf numFmtId="176" fontId="0" fillId="0" borderId="102" xfId="17" applyNumberFormat="1" applyBorder="1" applyAlignment="1">
      <alignment/>
    </xf>
    <xf numFmtId="176" fontId="0" fillId="0" borderId="103" xfId="17" applyNumberFormat="1" applyBorder="1" applyAlignment="1">
      <alignment/>
    </xf>
    <xf numFmtId="176" fontId="0" fillId="0" borderId="110" xfId="17" applyNumberFormat="1" applyBorder="1" applyAlignment="1">
      <alignment/>
    </xf>
    <xf numFmtId="176" fontId="0" fillId="0" borderId="111" xfId="17" applyNumberFormat="1" applyBorder="1" applyAlignment="1">
      <alignment/>
    </xf>
    <xf numFmtId="176" fontId="0" fillId="0" borderId="112" xfId="17" applyNumberFormat="1" applyBorder="1" applyAlignment="1">
      <alignment/>
    </xf>
    <xf numFmtId="0" fontId="0" fillId="0" borderId="104" xfId="0" applyBorder="1" applyAlignment="1">
      <alignment/>
    </xf>
    <xf numFmtId="176" fontId="0" fillId="0" borderId="101" xfId="0" applyNumberFormat="1" applyBorder="1" applyAlignment="1">
      <alignment horizontal="center"/>
    </xf>
    <xf numFmtId="176" fontId="0" fillId="0" borderId="102" xfId="0" applyNumberFormat="1" applyBorder="1" applyAlignment="1">
      <alignment horizontal="center"/>
    </xf>
    <xf numFmtId="176" fontId="0" fillId="0" borderId="103" xfId="0" applyNumberFormat="1" applyBorder="1" applyAlignment="1">
      <alignment horizontal="center"/>
    </xf>
    <xf numFmtId="176" fontId="0" fillId="0" borderId="21" xfId="0" applyNumberFormat="1" applyBorder="1" applyAlignment="1">
      <alignment horizontal="center"/>
    </xf>
    <xf numFmtId="176" fontId="0" fillId="0" borderId="113" xfId="17" applyNumberFormat="1" applyBorder="1" applyAlignment="1">
      <alignment/>
    </xf>
    <xf numFmtId="176" fontId="0" fillId="0" borderId="44" xfId="17" applyNumberFormat="1" applyBorder="1" applyAlignment="1">
      <alignment/>
    </xf>
    <xf numFmtId="176" fontId="0" fillId="0" borderId="114" xfId="17" applyNumberFormat="1" applyBorder="1" applyAlignment="1">
      <alignment/>
    </xf>
    <xf numFmtId="176" fontId="0" fillId="0" borderId="42" xfId="17" applyNumberFormat="1" applyBorder="1" applyAlignment="1">
      <alignment/>
    </xf>
    <xf numFmtId="176" fontId="0" fillId="0" borderId="43" xfId="17" applyNumberFormat="1" applyBorder="1" applyAlignment="1">
      <alignment/>
    </xf>
    <xf numFmtId="0" fontId="0" fillId="0" borderId="33" xfId="0" applyBorder="1" applyAlignment="1">
      <alignment/>
    </xf>
    <xf numFmtId="0" fontId="0" fillId="0" borderId="113" xfId="0" applyBorder="1" applyAlignment="1">
      <alignment/>
    </xf>
    <xf numFmtId="0" fontId="0" fillId="0" borderId="114" xfId="0" applyBorder="1" applyAlignment="1">
      <alignment/>
    </xf>
    <xf numFmtId="176" fontId="0" fillId="0" borderId="113" xfId="0" applyNumberFormat="1" applyBorder="1" applyAlignment="1">
      <alignment horizontal="center"/>
    </xf>
    <xf numFmtId="176" fontId="0" fillId="0" borderId="44" xfId="0" applyNumberFormat="1" applyBorder="1" applyAlignment="1">
      <alignment horizontal="center"/>
    </xf>
    <xf numFmtId="176" fontId="0" fillId="0" borderId="114" xfId="0" applyNumberFormat="1" applyBorder="1" applyAlignment="1">
      <alignment horizontal="center"/>
    </xf>
    <xf numFmtId="176" fontId="0" fillId="0" borderId="33" xfId="0" applyNumberFormat="1" applyBorder="1" applyAlignment="1">
      <alignment horizontal="center"/>
    </xf>
    <xf numFmtId="178" fontId="0" fillId="0" borderId="44" xfId="17" applyNumberFormat="1" applyFont="1" applyFill="1" applyBorder="1" applyAlignment="1">
      <alignment/>
    </xf>
    <xf numFmtId="176" fontId="0" fillId="0" borderId="33" xfId="17" applyNumberFormat="1" applyBorder="1" applyAlignment="1">
      <alignment/>
    </xf>
    <xf numFmtId="176" fontId="0" fillId="0" borderId="115" xfId="17" applyNumberFormat="1" applyBorder="1" applyAlignment="1">
      <alignment/>
    </xf>
    <xf numFmtId="176" fontId="0" fillId="0" borderId="116" xfId="17" applyNumberFormat="1" applyBorder="1" applyAlignment="1">
      <alignment/>
    </xf>
    <xf numFmtId="176" fontId="0" fillId="0" borderId="117" xfId="17" applyNumberFormat="1" applyBorder="1" applyAlignment="1">
      <alignment/>
    </xf>
    <xf numFmtId="0" fontId="0" fillId="0" borderId="108" xfId="0" applyBorder="1" applyAlignment="1">
      <alignment/>
    </xf>
    <xf numFmtId="0" fontId="0" fillId="0" borderId="115" xfId="0" applyBorder="1" applyAlignment="1">
      <alignment/>
    </xf>
    <xf numFmtId="0" fontId="0" fillId="0" borderId="116" xfId="0" applyBorder="1" applyAlignment="1">
      <alignment/>
    </xf>
    <xf numFmtId="0" fontId="0" fillId="0" borderId="117" xfId="0" applyBorder="1" applyAlignment="1">
      <alignment/>
    </xf>
    <xf numFmtId="176" fontId="0" fillId="0" borderId="115" xfId="0" applyNumberFormat="1" applyBorder="1" applyAlignment="1">
      <alignment horizontal="center"/>
    </xf>
    <xf numFmtId="176" fontId="0" fillId="0" borderId="116" xfId="0" applyNumberFormat="1" applyBorder="1" applyAlignment="1">
      <alignment horizontal="center"/>
    </xf>
    <xf numFmtId="176" fontId="0" fillId="0" borderId="117" xfId="0" applyNumberFormat="1" applyBorder="1" applyAlignment="1">
      <alignment horizontal="center"/>
    </xf>
    <xf numFmtId="176" fontId="0" fillId="0" borderId="118" xfId="0" applyNumberFormat="1" applyBorder="1" applyAlignment="1">
      <alignment horizontal="center"/>
    </xf>
    <xf numFmtId="0" fontId="17" fillId="0" borderId="44" xfId="0" applyFont="1" applyBorder="1" applyAlignment="1">
      <alignment/>
    </xf>
    <xf numFmtId="0" fontId="17" fillId="0" borderId="42" xfId="0" applyFont="1" applyBorder="1" applyAlignment="1">
      <alignment/>
    </xf>
    <xf numFmtId="176" fontId="17" fillId="0" borderId="119" xfId="0" applyNumberFormat="1" applyFont="1" applyBorder="1" applyAlignment="1">
      <alignment/>
    </xf>
    <xf numFmtId="176" fontId="17" fillId="0" borderId="120" xfId="0" applyNumberFormat="1" applyFont="1" applyBorder="1" applyAlignment="1">
      <alignment/>
    </xf>
    <xf numFmtId="176" fontId="17" fillId="0" borderId="121" xfId="17" applyNumberFormat="1" applyFont="1" applyBorder="1" applyAlignment="1">
      <alignment/>
    </xf>
    <xf numFmtId="176" fontId="17" fillId="0" borderId="119" xfId="17" applyNumberFormat="1" applyFont="1" applyBorder="1" applyAlignment="1">
      <alignment/>
    </xf>
    <xf numFmtId="176" fontId="17" fillId="0" borderId="99" xfId="17" applyNumberFormat="1" applyFont="1" applyBorder="1" applyAlignment="1">
      <alignment/>
    </xf>
    <xf numFmtId="176" fontId="17" fillId="0" borderId="24" xfId="17" applyNumberFormat="1" applyFont="1" applyBorder="1" applyAlignment="1">
      <alignment/>
    </xf>
    <xf numFmtId="176" fontId="17" fillId="0" borderId="120" xfId="17" applyNumberFormat="1" applyFont="1" applyBorder="1" applyAlignment="1">
      <alignment/>
    </xf>
    <xf numFmtId="176" fontId="17" fillId="0" borderId="122" xfId="17" applyNumberFormat="1" applyFont="1" applyBorder="1" applyAlignment="1">
      <alignment/>
    </xf>
    <xf numFmtId="176" fontId="17" fillId="0" borderId="123" xfId="17" applyNumberFormat="1" applyFont="1" applyBorder="1" applyAlignment="1">
      <alignment/>
    </xf>
    <xf numFmtId="176" fontId="17" fillId="0" borderId="124" xfId="17" applyNumberFormat="1" applyFont="1" applyBorder="1" applyAlignment="1">
      <alignment/>
    </xf>
    <xf numFmtId="176" fontId="17" fillId="0" borderId="125" xfId="17" applyNumberFormat="1" applyFont="1" applyBorder="1" applyAlignment="1">
      <alignment/>
    </xf>
    <xf numFmtId="0" fontId="17" fillId="0" borderId="119" xfId="0" applyFont="1" applyBorder="1" applyAlignment="1">
      <alignment/>
    </xf>
    <xf numFmtId="0" fontId="17" fillId="0" borderId="120" xfId="0" applyFont="1" applyBorder="1" applyAlignment="1">
      <alignment/>
    </xf>
    <xf numFmtId="0" fontId="17" fillId="0" borderId="121" xfId="0" applyFont="1" applyBorder="1" applyAlignment="1">
      <alignment/>
    </xf>
    <xf numFmtId="176" fontId="17" fillId="0" borderId="119" xfId="0" applyNumberFormat="1" applyFont="1" applyBorder="1" applyAlignment="1">
      <alignment horizontal="center"/>
    </xf>
    <xf numFmtId="176" fontId="17" fillId="0" borderId="120" xfId="0" applyNumberFormat="1" applyFont="1" applyBorder="1" applyAlignment="1">
      <alignment horizontal="center"/>
    </xf>
    <xf numFmtId="176" fontId="17" fillId="0" borderId="121" xfId="0" applyNumberFormat="1" applyFont="1" applyBorder="1" applyAlignment="1">
      <alignment horizontal="center"/>
    </xf>
    <xf numFmtId="176" fontId="17" fillId="0" borderId="99" xfId="0" applyNumberFormat="1" applyFont="1" applyBorder="1" applyAlignment="1">
      <alignment horizontal="center"/>
    </xf>
    <xf numFmtId="0" fontId="17" fillId="0" borderId="0" xfId="0" applyFont="1" applyAlignment="1">
      <alignment/>
    </xf>
    <xf numFmtId="0" fontId="0" fillId="0" borderId="126" xfId="0" applyFont="1" applyFill="1" applyBorder="1" applyAlignment="1">
      <alignment/>
    </xf>
    <xf numFmtId="0" fontId="0" fillId="0" borderId="127" xfId="0" applyFill="1" applyBorder="1" applyAlignment="1">
      <alignment/>
    </xf>
    <xf numFmtId="178" fontId="0" fillId="0" borderId="0" xfId="0" applyNumberFormat="1" applyAlignment="1">
      <alignment/>
    </xf>
    <xf numFmtId="178" fontId="17" fillId="0" borderId="122" xfId="0" applyNumberFormat="1" applyFont="1" applyBorder="1" applyAlignment="1">
      <alignment/>
    </xf>
    <xf numFmtId="178" fontId="17" fillId="0" borderId="123" xfId="0" applyNumberFormat="1" applyFont="1" applyBorder="1" applyAlignment="1">
      <alignment/>
    </xf>
    <xf numFmtId="178" fontId="17" fillId="0" borderId="125" xfId="0" applyNumberFormat="1" applyFont="1" applyBorder="1" applyAlignment="1">
      <alignment/>
    </xf>
    <xf numFmtId="176" fontId="0" fillId="0" borderId="0" xfId="17" applyNumberFormat="1" applyBorder="1" applyAlignment="1">
      <alignment/>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0" fillId="0" borderId="46" xfId="0" applyBorder="1" applyAlignment="1">
      <alignment horizontal="center"/>
    </xf>
    <xf numFmtId="0" fontId="0" fillId="0" borderId="46" xfId="0" applyFill="1" applyBorder="1" applyAlignment="1">
      <alignment horizontal="center"/>
    </xf>
    <xf numFmtId="0" fontId="0" fillId="0" borderId="109" xfId="0" applyBorder="1" applyAlignment="1">
      <alignment horizontal="center"/>
    </xf>
    <xf numFmtId="0" fontId="0" fillId="0" borderId="21" xfId="0" applyFont="1" applyBorder="1" applyAlignment="1">
      <alignment/>
    </xf>
    <xf numFmtId="176" fontId="0" fillId="0" borderId="128" xfId="0" applyNumberFormat="1" applyBorder="1" applyAlignment="1">
      <alignment horizontal="center"/>
    </xf>
    <xf numFmtId="0" fontId="0" fillId="0" borderId="33" xfId="0" applyFont="1" applyBorder="1" applyAlignment="1">
      <alignment/>
    </xf>
    <xf numFmtId="0" fontId="0" fillId="0" borderId="113" xfId="0" applyBorder="1" applyAlignment="1">
      <alignment horizontal="center"/>
    </xf>
    <xf numFmtId="0" fontId="0" fillId="0" borderId="44" xfId="0" applyBorder="1" applyAlignment="1">
      <alignment horizontal="center"/>
    </xf>
    <xf numFmtId="0" fontId="0" fillId="0" borderId="114" xfId="0" applyBorder="1" applyAlignment="1">
      <alignment horizontal="center"/>
    </xf>
    <xf numFmtId="176" fontId="0" fillId="0" borderId="43" xfId="0" applyNumberFormat="1" applyBorder="1" applyAlignment="1">
      <alignment horizontal="center"/>
    </xf>
    <xf numFmtId="178" fontId="0" fillId="0" borderId="44" xfId="17" applyNumberFormat="1" applyFont="1" applyFill="1" applyBorder="1" applyAlignment="1">
      <alignment horizontal="center"/>
    </xf>
    <xf numFmtId="0" fontId="0" fillId="0" borderId="118" xfId="0" applyFont="1" applyBorder="1" applyAlignment="1">
      <alignment/>
    </xf>
    <xf numFmtId="176" fontId="0" fillId="0" borderId="131" xfId="0" applyNumberFormat="1" applyBorder="1" applyAlignment="1">
      <alignment horizontal="center"/>
    </xf>
    <xf numFmtId="0" fontId="0" fillId="0" borderId="108" xfId="0" applyFont="1" applyBorder="1" applyAlignment="1">
      <alignment/>
    </xf>
    <xf numFmtId="0" fontId="0" fillId="0" borderId="115" xfId="0" applyBorder="1" applyAlignment="1">
      <alignment horizontal="center"/>
    </xf>
    <xf numFmtId="0" fontId="0" fillId="0" borderId="116" xfId="0" applyBorder="1" applyAlignment="1">
      <alignment horizontal="center"/>
    </xf>
    <xf numFmtId="0" fontId="0" fillId="0" borderId="117" xfId="0" applyBorder="1" applyAlignment="1">
      <alignment horizontal="center"/>
    </xf>
    <xf numFmtId="0" fontId="17" fillId="0" borderId="99" xfId="0" applyFont="1" applyBorder="1" applyAlignment="1">
      <alignment/>
    </xf>
    <xf numFmtId="176" fontId="17" fillId="0" borderId="24" xfId="0" applyNumberFormat="1" applyFont="1" applyBorder="1" applyAlignment="1">
      <alignment horizontal="center"/>
    </xf>
    <xf numFmtId="0" fontId="0" fillId="0" borderId="29" xfId="0" applyFill="1" applyBorder="1" applyAlignment="1">
      <alignment/>
    </xf>
    <xf numFmtId="178" fontId="17" fillId="0" borderId="16" xfId="0" applyNumberFormat="1" applyFont="1" applyBorder="1" applyAlignment="1">
      <alignment/>
    </xf>
    <xf numFmtId="0" fontId="0" fillId="0" borderId="0" xfId="0" applyBorder="1" applyAlignment="1">
      <alignment/>
    </xf>
    <xf numFmtId="0" fontId="0" fillId="0" borderId="0" xfId="0" applyFont="1" applyBorder="1" applyAlignment="1">
      <alignment/>
    </xf>
    <xf numFmtId="178" fontId="0" fillId="0" borderId="0" xfId="17" applyNumberFormat="1" applyFont="1" applyFill="1" applyBorder="1" applyAlignment="1">
      <alignment/>
    </xf>
    <xf numFmtId="0" fontId="17" fillId="0" borderId="0" xfId="0" applyFont="1" applyBorder="1" applyAlignment="1">
      <alignment/>
    </xf>
    <xf numFmtId="177" fontId="0" fillId="0" borderId="44" xfId="17" applyBorder="1" applyAlignment="1">
      <alignment/>
    </xf>
    <xf numFmtId="177" fontId="0" fillId="0" borderId="44" xfId="0" applyNumberFormat="1" applyBorder="1" applyAlignment="1">
      <alignment/>
    </xf>
    <xf numFmtId="176" fontId="17" fillId="0" borderId="44" xfId="0" applyNumberFormat="1" applyFont="1" applyBorder="1" applyAlignment="1">
      <alignment/>
    </xf>
    <xf numFmtId="0" fontId="0" fillId="0" borderId="132" xfId="0" applyBorder="1" applyAlignment="1">
      <alignment/>
    </xf>
    <xf numFmtId="0" fontId="0" fillId="0" borderId="133" xfId="0" applyBorder="1" applyAlignment="1">
      <alignment/>
    </xf>
    <xf numFmtId="0" fontId="0" fillId="0" borderId="134" xfId="0" applyBorder="1" applyAlignment="1">
      <alignment/>
    </xf>
    <xf numFmtId="0" fontId="0" fillId="0" borderId="134" xfId="0" applyBorder="1" applyAlignment="1">
      <alignment horizontal="center"/>
    </xf>
    <xf numFmtId="0" fontId="0" fillId="0" borderId="92" xfId="0" applyBorder="1" applyAlignment="1">
      <alignment horizontal="center"/>
    </xf>
    <xf numFmtId="0" fontId="0" fillId="0" borderId="135" xfId="0" applyBorder="1" applyAlignment="1">
      <alignment horizontal="center"/>
    </xf>
    <xf numFmtId="0" fontId="0" fillId="0" borderId="136" xfId="0" applyBorder="1" applyAlignment="1">
      <alignment/>
    </xf>
    <xf numFmtId="0" fontId="0" fillId="0" borderId="46" xfId="0" applyBorder="1" applyAlignment="1">
      <alignment/>
    </xf>
    <xf numFmtId="0" fontId="0" fillId="0" borderId="43" xfId="0" applyBorder="1" applyAlignment="1">
      <alignment/>
    </xf>
    <xf numFmtId="0" fontId="0" fillId="0" borderId="43" xfId="0" applyBorder="1" applyAlignment="1">
      <alignment horizontal="center"/>
    </xf>
    <xf numFmtId="0" fontId="0" fillId="0" borderId="137" xfId="0" applyBorder="1" applyAlignment="1">
      <alignment horizontal="center"/>
    </xf>
    <xf numFmtId="177" fontId="0" fillId="0" borderId="44" xfId="0" applyNumberFormat="1" applyBorder="1" applyAlignment="1">
      <alignment horizontal="center"/>
    </xf>
    <xf numFmtId="177" fontId="0" fillId="0" borderId="137" xfId="0" applyNumberFormat="1" applyBorder="1" applyAlignment="1">
      <alignment horizontal="center"/>
    </xf>
    <xf numFmtId="0" fontId="0" fillId="0" borderId="138" xfId="0" applyBorder="1" applyAlignment="1">
      <alignment/>
    </xf>
    <xf numFmtId="0" fontId="0" fillId="0" borderId="139" xfId="0" applyBorder="1" applyAlignment="1">
      <alignment/>
    </xf>
    <xf numFmtId="0" fontId="0" fillId="0" borderId="129" xfId="0" applyBorder="1" applyAlignment="1">
      <alignment/>
    </xf>
    <xf numFmtId="176" fontId="0" fillId="0" borderId="129" xfId="0" applyNumberFormat="1" applyBorder="1" applyAlignment="1">
      <alignment horizontal="center"/>
    </xf>
    <xf numFmtId="177" fontId="0" fillId="0" borderId="93" xfId="0" applyNumberFormat="1" applyBorder="1" applyAlignment="1">
      <alignment horizontal="center"/>
    </xf>
    <xf numFmtId="177" fontId="0" fillId="0" borderId="140" xfId="0" applyNumberFormat="1" applyBorder="1" applyAlignment="1">
      <alignment horizontal="center"/>
    </xf>
    <xf numFmtId="0" fontId="17" fillId="0" borderId="55" xfId="0" applyFont="1" applyBorder="1" applyAlignment="1">
      <alignment/>
    </xf>
    <xf numFmtId="0" fontId="17" fillId="0" borderId="18" xfId="0" applyFont="1" applyBorder="1" applyAlignment="1">
      <alignment/>
    </xf>
    <xf numFmtId="0" fontId="17" fillId="0" borderId="141" xfId="0" applyFont="1" applyBorder="1" applyAlignment="1">
      <alignment/>
    </xf>
    <xf numFmtId="176" fontId="17" fillId="0" borderId="58" xfId="0" applyNumberFormat="1" applyFont="1" applyBorder="1" applyAlignment="1">
      <alignment/>
    </xf>
    <xf numFmtId="176" fontId="17" fillId="0" borderId="58" xfId="0" applyNumberFormat="1" applyFont="1" applyBorder="1" applyAlignment="1">
      <alignment horizontal="center"/>
    </xf>
    <xf numFmtId="176" fontId="17" fillId="0" borderId="142" xfId="0" applyNumberFormat="1" applyFont="1" applyBorder="1" applyAlignment="1">
      <alignment horizontal="center"/>
    </xf>
    <xf numFmtId="0" fontId="0" fillId="3" borderId="102" xfId="0" applyFill="1" applyBorder="1" applyAlignment="1">
      <alignment horizontal="center"/>
    </xf>
    <xf numFmtId="0" fontId="0" fillId="3" borderId="93" xfId="0" applyFill="1" applyBorder="1" applyAlignment="1">
      <alignment horizontal="center"/>
    </xf>
    <xf numFmtId="176" fontId="0" fillId="3" borderId="102" xfId="0" applyNumberFormat="1" applyFill="1" applyBorder="1" applyAlignment="1">
      <alignment horizontal="center"/>
    </xf>
    <xf numFmtId="176" fontId="0" fillId="3" borderId="44" xfId="0" applyNumberFormat="1" applyFill="1" applyBorder="1" applyAlignment="1">
      <alignment horizontal="center"/>
    </xf>
    <xf numFmtId="176" fontId="0" fillId="3" borderId="116" xfId="0" applyNumberFormat="1" applyFill="1" applyBorder="1" applyAlignment="1">
      <alignment horizontal="center"/>
    </xf>
    <xf numFmtId="176" fontId="17" fillId="3" borderId="120" xfId="0" applyNumberFormat="1" applyFont="1" applyFill="1" applyBorder="1" applyAlignment="1">
      <alignment horizontal="center"/>
    </xf>
    <xf numFmtId="178" fontId="17" fillId="3" borderId="123" xfId="0" applyNumberFormat="1" applyFont="1" applyFill="1" applyBorder="1" applyAlignment="1">
      <alignment/>
    </xf>
    <xf numFmtId="0" fontId="0" fillId="0" borderId="14" xfId="22" applyFont="1" applyFill="1" applyBorder="1" applyAlignment="1" applyProtection="1">
      <alignment horizontal="center" vertical="center" wrapText="1"/>
      <protection/>
    </xf>
    <xf numFmtId="0" fontId="0" fillId="0" borderId="32" xfId="22" applyFont="1" applyFill="1" applyBorder="1" applyAlignment="1" applyProtection="1">
      <alignment horizontal="center" vertical="center" wrapText="1"/>
      <protection/>
    </xf>
    <xf numFmtId="0" fontId="0" fillId="0" borderId="49" xfId="22" applyFont="1" applyFill="1" applyBorder="1" applyAlignment="1" applyProtection="1">
      <alignment horizontal="center" vertical="center" wrapText="1"/>
      <protection/>
    </xf>
    <xf numFmtId="10" fontId="20" fillId="0" borderId="44" xfId="22" applyNumberFormat="1" applyFont="1" applyBorder="1" applyAlignment="1" applyProtection="1">
      <alignment horizontal="center" vertical="center"/>
      <protection locked="0"/>
    </xf>
    <xf numFmtId="10" fontId="20" fillId="0" borderId="0" xfId="22" applyNumberFormat="1" applyFont="1" applyProtection="1">
      <alignment/>
      <protection locked="0"/>
    </xf>
    <xf numFmtId="3" fontId="0" fillId="0" borderId="74" xfId="22" applyNumberFormat="1" applyFont="1" applyFill="1" applyBorder="1" applyProtection="1">
      <alignment/>
      <protection/>
    </xf>
    <xf numFmtId="3" fontId="0" fillId="6" borderId="65" xfId="22" applyNumberFormat="1" applyFont="1" applyFill="1" applyBorder="1" applyProtection="1">
      <alignment/>
      <protection locked="0"/>
    </xf>
    <xf numFmtId="3" fontId="0" fillId="6" borderId="76" xfId="22" applyNumberFormat="1" applyFont="1" applyFill="1" applyBorder="1" applyProtection="1">
      <alignment/>
      <protection locked="0"/>
    </xf>
    <xf numFmtId="3" fontId="0" fillId="0" borderId="36" xfId="22" applyNumberFormat="1" applyFont="1" applyFill="1" applyBorder="1" applyAlignment="1" applyProtection="1">
      <alignment vertical="center"/>
      <protection/>
    </xf>
    <xf numFmtId="3" fontId="20" fillId="0" borderId="0" xfId="22" applyNumberFormat="1" applyFont="1" applyProtection="1">
      <alignment/>
      <protection locked="0"/>
    </xf>
    <xf numFmtId="0" fontId="18" fillId="0" borderId="17" xfId="0" applyFont="1" applyBorder="1" applyAlignment="1">
      <alignment horizontal="center" vertical="center" wrapText="1"/>
    </xf>
    <xf numFmtId="3" fontId="22" fillId="0" borderId="143" xfId="0" applyNumberFormat="1" applyFont="1" applyBorder="1" applyAlignment="1">
      <alignment horizontal="center"/>
    </xf>
    <xf numFmtId="0" fontId="18" fillId="0" borderId="144" xfId="0" applyFont="1" applyBorder="1" applyAlignment="1">
      <alignment/>
    </xf>
    <xf numFmtId="0" fontId="18" fillId="0" borderId="99" xfId="0" applyFont="1" applyBorder="1" applyAlignment="1">
      <alignment horizontal="center" vertical="center" wrapText="1"/>
    </xf>
    <xf numFmtId="3" fontId="4" fillId="10" borderId="0" xfId="22" applyNumberFormat="1" applyFont="1" applyFill="1" applyProtection="1">
      <alignment/>
      <protection locked="0"/>
    </xf>
    <xf numFmtId="0" fontId="29" fillId="0" borderId="0" xfId="22" applyFont="1" applyProtection="1">
      <alignment/>
      <protection locked="0"/>
    </xf>
    <xf numFmtId="3" fontId="4" fillId="0" borderId="0" xfId="22" applyNumberFormat="1" applyFont="1" applyProtection="1">
      <alignment/>
      <protection/>
    </xf>
    <xf numFmtId="3" fontId="5" fillId="0" borderId="0" xfId="22" applyNumberFormat="1" applyFont="1" applyAlignment="1" applyProtection="1">
      <alignment horizontal="center"/>
      <protection/>
    </xf>
    <xf numFmtId="0" fontId="18" fillId="0" borderId="47" xfId="0" applyFont="1" applyBorder="1" applyAlignment="1">
      <alignment horizontal="center" vertical="center"/>
    </xf>
    <xf numFmtId="0" fontId="0" fillId="2" borderId="0" xfId="0" applyFill="1" applyAlignment="1">
      <alignment/>
    </xf>
    <xf numFmtId="0" fontId="18" fillId="0" borderId="0" xfId="0" applyFont="1" applyBorder="1" applyAlignment="1">
      <alignment/>
    </xf>
    <xf numFmtId="3" fontId="22" fillId="2" borderId="0" xfId="0" applyNumberFormat="1" applyFont="1" applyFill="1" applyBorder="1" applyAlignment="1">
      <alignment horizontal="center"/>
    </xf>
    <xf numFmtId="0" fontId="18" fillId="2" borderId="0" xfId="0" applyFont="1" applyFill="1" applyBorder="1" applyAlignment="1">
      <alignment/>
    </xf>
    <xf numFmtId="175" fontId="22" fillId="2" borderId="0" xfId="0" applyNumberFormat="1" applyFont="1" applyFill="1" applyBorder="1" applyAlignment="1">
      <alignment horizontal="center"/>
    </xf>
    <xf numFmtId="175" fontId="23" fillId="2" borderId="0" xfId="0" applyNumberFormat="1" applyFont="1" applyFill="1" applyBorder="1" applyAlignment="1">
      <alignment horizontal="center"/>
    </xf>
    <xf numFmtId="10" fontId="22" fillId="2" borderId="0" xfId="0" applyNumberFormat="1" applyFont="1" applyFill="1" applyBorder="1" applyAlignment="1">
      <alignment horizontal="center"/>
    </xf>
    <xf numFmtId="0" fontId="18" fillId="0" borderId="145" xfId="0" applyFont="1" applyBorder="1" applyAlignment="1">
      <alignment horizontal="center" vertical="center"/>
    </xf>
    <xf numFmtId="10" fontId="18" fillId="0" borderId="47" xfId="0" applyNumberFormat="1" applyFont="1" applyBorder="1" applyAlignment="1">
      <alignment horizontal="center" vertical="center"/>
    </xf>
    <xf numFmtId="10" fontId="18" fillId="0" borderId="146" xfId="0" applyNumberFormat="1" applyFont="1" applyBorder="1" applyAlignment="1">
      <alignment horizontal="center" vertical="center"/>
    </xf>
    <xf numFmtId="0" fontId="18" fillId="0" borderId="61" xfId="0" applyFont="1" applyBorder="1" applyAlignment="1">
      <alignment/>
    </xf>
    <xf numFmtId="3" fontId="22" fillId="6" borderId="22" xfId="0" applyNumberFormat="1" applyFont="1" applyFill="1" applyBorder="1" applyAlignment="1">
      <alignment horizontal="center"/>
    </xf>
    <xf numFmtId="2" fontId="22" fillId="2" borderId="0" xfId="0" applyNumberFormat="1" applyFont="1" applyFill="1" applyBorder="1" applyAlignment="1">
      <alignment horizontal="center"/>
    </xf>
    <xf numFmtId="3" fontId="0" fillId="0" borderId="0" xfId="0" applyNumberFormat="1" applyBorder="1" applyAlignment="1">
      <alignment/>
    </xf>
    <xf numFmtId="2" fontId="22" fillId="2" borderId="147" xfId="0" applyNumberFormat="1" applyFont="1" applyFill="1" applyBorder="1" applyAlignment="1">
      <alignment horizontal="right"/>
    </xf>
    <xf numFmtId="0" fontId="0" fillId="0" borderId="0" xfId="0" applyAlignment="1">
      <alignment horizontal="right"/>
    </xf>
    <xf numFmtId="2" fontId="22" fillId="2" borderId="135" xfId="0" applyNumberFormat="1" applyFont="1" applyFill="1" applyBorder="1" applyAlignment="1">
      <alignment horizontal="right"/>
    </xf>
    <xf numFmtId="2" fontId="22" fillId="2" borderId="148" xfId="0" applyNumberFormat="1" applyFont="1" applyFill="1" applyBorder="1" applyAlignment="1">
      <alignment horizontal="right"/>
    </xf>
    <xf numFmtId="4" fontId="4" fillId="0" borderId="0" xfId="22" applyNumberFormat="1" applyFont="1" applyProtection="1">
      <alignment/>
      <protection/>
    </xf>
    <xf numFmtId="179" fontId="11" fillId="0" borderId="0" xfId="23" applyNumberFormat="1" applyFont="1" applyAlignment="1" applyProtection="1">
      <alignment horizontal="centerContinuous"/>
      <protection/>
    </xf>
    <xf numFmtId="179" fontId="42" fillId="0" borderId="0" xfId="23" applyNumberFormat="1" applyFont="1" applyAlignment="1" applyProtection="1">
      <alignment horizontal="centerContinuous"/>
      <protection/>
    </xf>
    <xf numFmtId="179" fontId="23" fillId="0" borderId="0" xfId="23" applyNumberFormat="1" applyFont="1" applyAlignment="1" applyProtection="1">
      <alignment horizontal="centerContinuous"/>
      <protection/>
    </xf>
    <xf numFmtId="179" fontId="43" fillId="0" borderId="149" xfId="23" applyNumberFormat="1" applyFont="1" applyBorder="1" applyProtection="1">
      <alignment/>
      <protection/>
    </xf>
    <xf numFmtId="0" fontId="15" fillId="0" borderId="150" xfId="23" applyNumberFormat="1" applyFont="1" applyBorder="1" applyAlignment="1">
      <alignment/>
      <protection/>
    </xf>
    <xf numFmtId="179" fontId="23" fillId="0" borderId="151" xfId="23" applyNumberFormat="1" applyFont="1" applyBorder="1" applyAlignment="1" applyProtection="1">
      <alignment horizontal="centerContinuous"/>
      <protection/>
    </xf>
    <xf numFmtId="179" fontId="23" fillId="0" borderId="152" xfId="23" applyNumberFormat="1" applyFont="1" applyBorder="1" applyAlignment="1" applyProtection="1">
      <alignment horizontal="centerContinuous"/>
      <protection/>
    </xf>
    <xf numFmtId="179" fontId="23" fillId="0" borderId="153" xfId="23" applyNumberFormat="1" applyFont="1" applyBorder="1" applyAlignment="1" applyProtection="1">
      <alignment horizontal="centerContinuous"/>
      <protection/>
    </xf>
    <xf numFmtId="179" fontId="23" fillId="0" borderId="154" xfId="23" applyNumberFormat="1" applyFont="1" applyBorder="1" applyAlignment="1" applyProtection="1">
      <alignment horizontal="centerContinuous"/>
      <protection/>
    </xf>
    <xf numFmtId="179" fontId="23" fillId="0" borderId="155" xfId="23" applyNumberFormat="1" applyFont="1" applyBorder="1" applyAlignment="1" applyProtection="1">
      <alignment horizontal="centerContinuous"/>
      <protection/>
    </xf>
    <xf numFmtId="179" fontId="23" fillId="0" borderId="156" xfId="23" applyNumberFormat="1" applyFont="1" applyBorder="1" applyAlignment="1" applyProtection="1">
      <alignment horizontal="centerContinuous"/>
      <protection/>
    </xf>
    <xf numFmtId="179" fontId="23" fillId="0" borderId="157" xfId="23" applyNumberFormat="1" applyFont="1" applyBorder="1" applyAlignment="1" applyProtection="1">
      <alignment horizontal="center"/>
      <protection/>
    </xf>
    <xf numFmtId="0" fontId="15" fillId="0" borderId="158" xfId="23" applyNumberFormat="1" applyFont="1" applyBorder="1" applyAlignment="1" applyProtection="1" quotePrefix="1">
      <alignment/>
      <protection/>
    </xf>
    <xf numFmtId="179" fontId="23" fillId="0" borderId="159" xfId="23" applyNumberFormat="1" applyFont="1" applyBorder="1" applyAlignment="1" applyProtection="1">
      <alignment horizontal="centerContinuous"/>
      <protection/>
    </xf>
    <xf numFmtId="179" fontId="23" fillId="0" borderId="160" xfId="23" applyNumberFormat="1" applyFont="1" applyBorder="1" applyAlignment="1" applyProtection="1">
      <alignment horizontal="centerContinuous"/>
      <protection/>
    </xf>
    <xf numFmtId="179" fontId="23" fillId="0" borderId="161" xfId="23" applyNumberFormat="1" applyFont="1" applyBorder="1" applyAlignment="1" applyProtection="1">
      <alignment horizontal="centerContinuous"/>
      <protection/>
    </xf>
    <xf numFmtId="179" fontId="23" fillId="0" borderId="162" xfId="23" applyNumberFormat="1" applyFont="1" applyBorder="1" applyAlignment="1" applyProtection="1">
      <alignment horizontal="centerContinuous"/>
      <protection/>
    </xf>
    <xf numFmtId="179" fontId="23" fillId="0" borderId="163" xfId="23" applyNumberFormat="1" applyFont="1" applyBorder="1" applyAlignment="1" applyProtection="1">
      <alignment horizontal="centerContinuous"/>
      <protection/>
    </xf>
    <xf numFmtId="179" fontId="23" fillId="0" borderId="164" xfId="23" applyNumberFormat="1" applyFont="1" applyBorder="1" applyAlignment="1" applyProtection="1">
      <alignment horizontal="centerContinuous"/>
      <protection/>
    </xf>
    <xf numFmtId="179" fontId="43" fillId="0" borderId="165" xfId="23" applyNumberFormat="1" applyFont="1" applyBorder="1" applyProtection="1">
      <alignment/>
      <protection/>
    </xf>
    <xf numFmtId="0" fontId="15" fillId="0" borderId="166" xfId="23" applyNumberFormat="1" applyFont="1" applyBorder="1" applyAlignment="1" applyProtection="1">
      <alignment/>
      <protection/>
    </xf>
    <xf numFmtId="179" fontId="23" fillId="0" borderId="167" xfId="23" applyNumberFormat="1" applyFont="1" applyBorder="1" applyAlignment="1" applyProtection="1">
      <alignment horizontal="centerContinuous"/>
      <protection/>
    </xf>
    <xf numFmtId="179" fontId="23" fillId="0" borderId="168" xfId="23" applyNumberFormat="1" applyFont="1" applyBorder="1" applyAlignment="1" applyProtection="1">
      <alignment horizontal="centerContinuous"/>
      <protection/>
    </xf>
    <xf numFmtId="179" fontId="23" fillId="0" borderId="169" xfId="23" applyNumberFormat="1" applyFont="1" applyBorder="1" applyAlignment="1" applyProtection="1">
      <alignment horizontal="centerContinuous"/>
      <protection/>
    </xf>
    <xf numFmtId="179" fontId="23" fillId="0" borderId="170" xfId="23" applyNumberFormat="1" applyFont="1" applyBorder="1" applyAlignment="1" applyProtection="1">
      <alignment horizontal="centerContinuous"/>
      <protection/>
    </xf>
    <xf numFmtId="179" fontId="23" fillId="0" borderId="171" xfId="23" applyNumberFormat="1" applyFont="1" applyBorder="1" applyAlignment="1" applyProtection="1">
      <alignment horizontal="centerContinuous"/>
      <protection/>
    </xf>
    <xf numFmtId="180" fontId="22" fillId="0" borderId="157" xfId="23" applyNumberFormat="1" applyFont="1" applyBorder="1" applyProtection="1">
      <alignment/>
      <protection/>
    </xf>
    <xf numFmtId="0" fontId="44" fillId="0" borderId="172" xfId="23" applyNumberFormat="1" applyFont="1" applyBorder="1" applyProtection="1">
      <alignment/>
      <protection/>
    </xf>
    <xf numFmtId="3" fontId="22" fillId="0" borderId="0" xfId="23" applyNumberFormat="1" applyFont="1" applyBorder="1" applyAlignment="1" applyProtection="1">
      <alignment horizontal="right"/>
      <protection/>
    </xf>
    <xf numFmtId="3" fontId="22" fillId="0" borderId="173" xfId="23" applyNumberFormat="1" applyFont="1" applyBorder="1" applyAlignment="1" applyProtection="1">
      <alignment horizontal="right"/>
      <protection/>
    </xf>
    <xf numFmtId="3" fontId="22" fillId="0" borderId="153" xfId="23" applyNumberFormat="1" applyFont="1" applyBorder="1" applyAlignment="1" applyProtection="1">
      <alignment horizontal="right"/>
      <protection/>
    </xf>
    <xf numFmtId="3" fontId="22" fillId="0" borderId="174" xfId="23" applyNumberFormat="1" applyFont="1" applyBorder="1" applyAlignment="1" applyProtection="1">
      <alignment horizontal="right"/>
      <protection/>
    </xf>
    <xf numFmtId="3" fontId="22" fillId="0" borderId="0" xfId="23" applyNumberFormat="1" applyFont="1" applyAlignment="1" applyProtection="1">
      <alignment horizontal="right"/>
      <protection/>
    </xf>
    <xf numFmtId="3" fontId="22" fillId="0" borderId="175" xfId="23" applyNumberFormat="1" applyFont="1" applyBorder="1" applyAlignment="1" applyProtection="1">
      <alignment horizontal="right"/>
      <protection/>
    </xf>
    <xf numFmtId="3" fontId="22" fillId="0" borderId="176" xfId="23" applyNumberFormat="1" applyFont="1" applyBorder="1" applyAlignment="1" applyProtection="1">
      <alignment horizontal="right"/>
      <protection/>
    </xf>
    <xf numFmtId="3" fontId="22" fillId="0" borderId="177" xfId="23" applyNumberFormat="1" applyFont="1" applyBorder="1" applyAlignment="1" applyProtection="1">
      <alignment horizontal="right"/>
      <protection/>
    </xf>
    <xf numFmtId="3" fontId="22" fillId="0" borderId="172" xfId="23" applyNumberFormat="1" applyFont="1" applyBorder="1" applyAlignment="1" applyProtection="1">
      <alignment horizontal="right"/>
      <protection/>
    </xf>
    <xf numFmtId="3" fontId="22" fillId="0" borderId="127" xfId="23" applyNumberFormat="1" applyFont="1" applyBorder="1" applyAlignment="1" applyProtection="1">
      <alignment horizontal="right"/>
      <protection/>
    </xf>
    <xf numFmtId="3" fontId="22" fillId="0" borderId="178" xfId="23" applyNumberFormat="1" applyFont="1" applyBorder="1" applyAlignment="1" applyProtection="1">
      <alignment horizontal="right"/>
      <protection/>
    </xf>
    <xf numFmtId="3" fontId="22" fillId="0" borderId="179" xfId="23" applyNumberFormat="1" applyFont="1" applyBorder="1" applyAlignment="1" applyProtection="1">
      <alignment horizontal="right"/>
      <protection/>
    </xf>
    <xf numFmtId="3" fontId="22" fillId="0" borderId="157" xfId="23" applyNumberFormat="1" applyFont="1" applyBorder="1" applyAlignment="1" applyProtection="1">
      <alignment horizontal="right"/>
      <protection/>
    </xf>
    <xf numFmtId="181" fontId="23" fillId="0" borderId="180" xfId="23" applyNumberFormat="1" applyFont="1" applyBorder="1" applyProtection="1">
      <alignment/>
      <protection/>
    </xf>
    <xf numFmtId="0" fontId="43" fillId="0" borderId="181" xfId="23" applyNumberFormat="1" applyFont="1" applyBorder="1" applyProtection="1">
      <alignment/>
      <protection/>
    </xf>
    <xf numFmtId="3" fontId="23" fillId="0" borderId="182" xfId="23" applyNumberFormat="1" applyFont="1" applyBorder="1" applyAlignment="1" applyProtection="1">
      <alignment horizontal="right"/>
      <protection/>
    </xf>
    <xf numFmtId="3" fontId="23" fillId="0" borderId="183" xfId="23" applyNumberFormat="1" applyFont="1" applyBorder="1" applyAlignment="1" applyProtection="1">
      <alignment horizontal="right"/>
      <protection/>
    </xf>
    <xf numFmtId="3" fontId="23" fillId="0" borderId="184" xfId="23" applyNumberFormat="1" applyFont="1" applyBorder="1" applyAlignment="1" applyProtection="1">
      <alignment horizontal="right"/>
      <protection/>
    </xf>
    <xf numFmtId="3" fontId="23" fillId="0" borderId="185" xfId="23" applyNumberFormat="1" applyFont="1" applyBorder="1" applyAlignment="1" applyProtection="1">
      <alignment horizontal="right"/>
      <protection/>
    </xf>
    <xf numFmtId="3" fontId="23" fillId="0" borderId="186" xfId="23" applyNumberFormat="1" applyFont="1" applyBorder="1" applyAlignment="1" applyProtection="1">
      <alignment horizontal="right"/>
      <protection/>
    </xf>
    <xf numFmtId="3" fontId="23" fillId="0" borderId="181" xfId="23" applyNumberFormat="1" applyFont="1" applyBorder="1" applyAlignment="1" applyProtection="1">
      <alignment horizontal="right"/>
      <protection/>
    </xf>
    <xf numFmtId="179" fontId="23" fillId="0" borderId="180" xfId="23" applyNumberFormat="1" applyFont="1" applyBorder="1" applyProtection="1">
      <alignment/>
      <protection/>
    </xf>
    <xf numFmtId="179" fontId="23" fillId="0" borderId="187" xfId="23" applyNumberFormat="1" applyFont="1" applyBorder="1" applyProtection="1">
      <alignment/>
      <protection/>
    </xf>
    <xf numFmtId="0" fontId="43" fillId="0" borderId="188" xfId="23" applyNumberFormat="1" applyFont="1" applyBorder="1" applyProtection="1">
      <alignment/>
      <protection/>
    </xf>
    <xf numFmtId="3" fontId="23" fillId="0" borderId="189" xfId="23" applyNumberFormat="1" applyFont="1" applyBorder="1" applyAlignment="1" applyProtection="1">
      <alignment horizontal="right"/>
      <protection/>
    </xf>
    <xf numFmtId="3" fontId="23" fillId="0" borderId="190" xfId="23" applyNumberFormat="1" applyFont="1" applyBorder="1" applyAlignment="1" applyProtection="1">
      <alignment horizontal="right"/>
      <protection/>
    </xf>
    <xf numFmtId="3" fontId="23" fillId="0" borderId="191" xfId="23" applyNumberFormat="1" applyFont="1" applyBorder="1" applyAlignment="1" applyProtection="1">
      <alignment horizontal="right"/>
      <protection/>
    </xf>
    <xf numFmtId="3" fontId="23" fillId="0" borderId="192" xfId="23" applyNumberFormat="1" applyFont="1" applyBorder="1" applyAlignment="1" applyProtection="1">
      <alignment horizontal="right"/>
      <protection/>
    </xf>
    <xf numFmtId="3" fontId="23" fillId="0" borderId="193" xfId="23" applyNumberFormat="1" applyFont="1" applyBorder="1" applyAlignment="1" applyProtection="1">
      <alignment horizontal="right"/>
      <protection/>
    </xf>
    <xf numFmtId="3" fontId="23" fillId="0" borderId="188" xfId="23" applyNumberFormat="1" applyFont="1" applyBorder="1" applyAlignment="1" applyProtection="1">
      <alignment horizontal="right"/>
      <protection/>
    </xf>
    <xf numFmtId="10" fontId="0" fillId="0" borderId="0" xfId="0" applyNumberFormat="1" applyAlignment="1">
      <alignment/>
    </xf>
    <xf numFmtId="3" fontId="17" fillId="11" borderId="28" xfId="22" applyNumberFormat="1" applyFont="1" applyFill="1" applyBorder="1" applyAlignment="1" applyProtection="1">
      <alignment horizontal="right" vertical="center"/>
      <protection locked="0"/>
    </xf>
    <xf numFmtId="3" fontId="0" fillId="11" borderId="28" xfId="22" applyNumberFormat="1" applyFont="1" applyFill="1" applyBorder="1" applyAlignment="1" applyProtection="1">
      <alignment horizontal="right" vertical="center"/>
      <protection locked="0"/>
    </xf>
    <xf numFmtId="3" fontId="17" fillId="12" borderId="77" xfId="22" applyNumberFormat="1" applyFont="1" applyFill="1" applyBorder="1" applyAlignment="1" applyProtection="1">
      <alignment horizontal="right" vertical="center"/>
      <protection locked="0"/>
    </xf>
    <xf numFmtId="3" fontId="17" fillId="12" borderId="28" xfId="22" applyNumberFormat="1" applyFont="1" applyFill="1" applyBorder="1" applyAlignment="1" applyProtection="1">
      <alignment horizontal="right" vertical="center"/>
      <protection locked="0"/>
    </xf>
    <xf numFmtId="3" fontId="0" fillId="12" borderId="77" xfId="22" applyNumberFormat="1" applyFont="1" applyFill="1" applyBorder="1" applyAlignment="1" applyProtection="1">
      <alignment horizontal="right" vertical="center"/>
      <protection locked="0"/>
    </xf>
    <xf numFmtId="3" fontId="0" fillId="12" borderId="28" xfId="22" applyNumberFormat="1" applyFont="1" applyFill="1" applyBorder="1" applyAlignment="1" applyProtection="1">
      <alignment horizontal="right" vertical="center"/>
      <protection locked="0"/>
    </xf>
    <xf numFmtId="3" fontId="17" fillId="12" borderId="28" xfId="22" applyNumberFormat="1" applyFont="1" applyFill="1" applyBorder="1" applyAlignment="1" applyProtection="1">
      <alignment vertical="center"/>
      <protection locked="0"/>
    </xf>
    <xf numFmtId="3" fontId="0" fillId="12" borderId="28" xfId="22" applyNumberFormat="1" applyFont="1" applyFill="1" applyBorder="1" applyAlignment="1" applyProtection="1">
      <alignment vertical="center"/>
      <protection locked="0"/>
    </xf>
    <xf numFmtId="3" fontId="0" fillId="12" borderId="28" xfId="22" applyNumberFormat="1" applyFont="1" applyFill="1" applyBorder="1" applyProtection="1">
      <alignment/>
      <protection locked="0"/>
    </xf>
    <xf numFmtId="3" fontId="0" fillId="12" borderId="9" xfId="22" applyNumberFormat="1" applyFont="1" applyFill="1" applyBorder="1" applyAlignment="1" applyProtection="1">
      <alignment vertical="center"/>
      <protection locked="0"/>
    </xf>
    <xf numFmtId="3" fontId="17" fillId="13" borderId="28" xfId="22" applyNumberFormat="1" applyFont="1" applyFill="1" applyBorder="1" applyAlignment="1" applyProtection="1">
      <alignment horizontal="right" vertical="center"/>
      <protection locked="0"/>
    </xf>
    <xf numFmtId="3" fontId="0" fillId="13" borderId="28" xfId="22" applyNumberFormat="1" applyFont="1" applyFill="1" applyBorder="1" applyAlignment="1" applyProtection="1">
      <alignment horizontal="right" vertical="center"/>
      <protection locked="0"/>
    </xf>
    <xf numFmtId="3" fontId="17" fillId="13" borderId="28" xfId="22" applyNumberFormat="1" applyFont="1" applyFill="1" applyBorder="1" applyAlignment="1" applyProtection="1">
      <alignment vertical="center"/>
      <protection locked="0"/>
    </xf>
    <xf numFmtId="3" fontId="0" fillId="13" borderId="28" xfId="22" applyNumberFormat="1" applyFont="1" applyFill="1" applyBorder="1" applyAlignment="1" applyProtection="1">
      <alignment vertical="center"/>
      <protection locked="0"/>
    </xf>
    <xf numFmtId="3" fontId="0" fillId="13" borderId="28" xfId="22" applyNumberFormat="1" applyFont="1" applyFill="1" applyBorder="1" applyProtection="1">
      <alignment/>
      <protection locked="0"/>
    </xf>
    <xf numFmtId="3" fontId="0" fillId="10" borderId="44" xfId="0" applyNumberFormat="1" applyFill="1" applyBorder="1" applyAlignment="1">
      <alignment horizontal="right" vertical="center"/>
    </xf>
    <xf numFmtId="3" fontId="17" fillId="11" borderId="28" xfId="22" applyNumberFormat="1" applyFont="1" applyFill="1" applyBorder="1" applyAlignment="1" applyProtection="1">
      <alignment vertical="center"/>
      <protection locked="0"/>
    </xf>
    <xf numFmtId="3" fontId="0" fillId="11" borderId="28" xfId="22" applyNumberFormat="1" applyFont="1" applyFill="1" applyBorder="1" applyAlignment="1" applyProtection="1">
      <alignment vertical="center"/>
      <protection locked="0"/>
    </xf>
    <xf numFmtId="0" fontId="0" fillId="0" borderId="0" xfId="0" applyBorder="1" applyAlignment="1">
      <alignment horizontal="center"/>
    </xf>
    <xf numFmtId="0" fontId="0" fillId="0" borderId="15" xfId="0" applyFont="1" applyBorder="1" applyAlignment="1">
      <alignment horizontal="center" vertical="center"/>
    </xf>
    <xf numFmtId="3" fontId="0" fillId="0" borderId="5" xfId="0" applyNumberFormat="1" applyBorder="1" applyAlignment="1">
      <alignment/>
    </xf>
    <xf numFmtId="3" fontId="16" fillId="0" borderId="5" xfId="22" applyNumberFormat="1" applyFont="1" applyBorder="1" applyProtection="1">
      <alignment/>
      <protection locked="0"/>
    </xf>
    <xf numFmtId="2" fontId="4" fillId="0" borderId="59" xfId="22" applyNumberFormat="1" applyFont="1" applyBorder="1" applyProtection="1">
      <alignment/>
      <protection locked="0"/>
    </xf>
    <xf numFmtId="0" fontId="16" fillId="0" borderId="42" xfId="0" applyFont="1" applyBorder="1" applyAlignment="1">
      <alignment horizontal="center" wrapText="1"/>
    </xf>
    <xf numFmtId="3" fontId="22" fillId="0" borderId="44" xfId="0" applyNumberFormat="1" applyFont="1" applyBorder="1" applyAlignment="1">
      <alignment horizontal="center" wrapText="1"/>
    </xf>
    <xf numFmtId="0" fontId="4" fillId="0" borderId="44" xfId="22" applyFont="1" applyFill="1" applyBorder="1" applyProtection="1">
      <alignment/>
      <protection locked="0"/>
    </xf>
    <xf numFmtId="0" fontId="4" fillId="0" borderId="44" xfId="22" applyFont="1" applyBorder="1" applyProtection="1">
      <alignment/>
      <protection locked="0"/>
    </xf>
    <xf numFmtId="0" fontId="0" fillId="0" borderId="0" xfId="0" applyAlignment="1">
      <alignment horizontal="center" wrapText="1"/>
    </xf>
    <xf numFmtId="3" fontId="0" fillId="0" borderId="0" xfId="22" applyNumberFormat="1" applyFont="1" applyFill="1" applyBorder="1" applyProtection="1">
      <alignment/>
      <protection/>
    </xf>
    <xf numFmtId="3" fontId="0" fillId="0" borderId="0" xfId="22" applyNumberFormat="1" applyFont="1" applyFill="1" applyBorder="1" applyProtection="1">
      <alignment/>
      <protection/>
    </xf>
    <xf numFmtId="3" fontId="16" fillId="0" borderId="0" xfId="0" applyNumberFormat="1" applyFont="1" applyAlignment="1">
      <alignment wrapText="1"/>
    </xf>
    <xf numFmtId="3" fontId="0" fillId="2" borderId="0" xfId="22" applyNumberFormat="1" applyFont="1" applyFill="1" applyBorder="1" applyProtection="1">
      <alignment/>
      <protection/>
    </xf>
    <xf numFmtId="3" fontId="0" fillId="3" borderId="88" xfId="22" applyNumberFormat="1" applyFont="1" applyFill="1" applyBorder="1" applyAlignment="1" applyProtection="1">
      <alignment vertical="center"/>
      <protection locked="0"/>
    </xf>
    <xf numFmtId="3" fontId="0" fillId="3" borderId="89" xfId="22" applyNumberFormat="1" applyFont="1" applyFill="1" applyBorder="1" applyAlignment="1" applyProtection="1">
      <alignment vertical="center"/>
      <protection locked="0"/>
    </xf>
    <xf numFmtId="2" fontId="20" fillId="0" borderId="45" xfId="22" applyNumberFormat="1" applyFont="1" applyBorder="1" applyAlignment="1" applyProtection="1">
      <alignment horizontal="center" vertical="center"/>
      <protection locked="0"/>
    </xf>
    <xf numFmtId="2" fontId="22" fillId="2" borderId="194" xfId="0" applyNumberFormat="1" applyFont="1" applyFill="1" applyBorder="1" applyAlignment="1">
      <alignment horizontal="right"/>
    </xf>
    <xf numFmtId="0" fontId="17" fillId="0" borderId="133" xfId="0" applyFont="1" applyBorder="1" applyAlignment="1">
      <alignment horizontal="center" wrapText="1"/>
    </xf>
    <xf numFmtId="0" fontId="17" fillId="0" borderId="195" xfId="0" applyFont="1" applyBorder="1" applyAlignment="1">
      <alignment horizontal="center" wrapText="1"/>
    </xf>
    <xf numFmtId="2" fontId="22" fillId="2" borderId="196" xfId="0" applyNumberFormat="1" applyFont="1" applyFill="1" applyBorder="1" applyAlignment="1">
      <alignment horizontal="right"/>
    </xf>
    <xf numFmtId="2" fontId="22" fillId="2" borderId="0" xfId="0" applyNumberFormat="1" applyFont="1" applyFill="1" applyBorder="1" applyAlignment="1">
      <alignment horizontal="right"/>
    </xf>
    <xf numFmtId="0" fontId="0" fillId="0" borderId="0" xfId="0" applyAlignment="1">
      <alignment horizontal="center"/>
    </xf>
    <xf numFmtId="2" fontId="22" fillId="2" borderId="196" xfId="0" applyNumberFormat="1" applyFont="1" applyFill="1" applyBorder="1" applyAlignment="1">
      <alignment horizontal="center"/>
    </xf>
    <xf numFmtId="3" fontId="0" fillId="0" borderId="0" xfId="0" applyNumberFormat="1" applyAlignment="1">
      <alignment horizontal="center"/>
    </xf>
    <xf numFmtId="4" fontId="23" fillId="2" borderId="0" xfId="0" applyNumberFormat="1" applyFont="1" applyFill="1" applyBorder="1" applyAlignment="1">
      <alignment horizontal="center"/>
    </xf>
    <xf numFmtId="175" fontId="22" fillId="2" borderId="0" xfId="0" applyNumberFormat="1" applyFont="1" applyFill="1" applyBorder="1" applyAlignment="1">
      <alignment horizontal="right"/>
    </xf>
    <xf numFmtId="0" fontId="0" fillId="0" borderId="0" xfId="0" applyFill="1" applyBorder="1" applyAlignment="1">
      <alignment horizontal="center" vertical="center"/>
    </xf>
    <xf numFmtId="0" fontId="0" fillId="0" borderId="0" xfId="0" applyFill="1" applyAlignment="1">
      <alignment/>
    </xf>
    <xf numFmtId="10" fontId="18" fillId="0" borderId="0" xfId="0" applyNumberFormat="1" applyFont="1" applyFill="1" applyBorder="1" applyAlignment="1">
      <alignment horizontal="center" vertical="center"/>
    </xf>
    <xf numFmtId="175" fontId="22" fillId="0" borderId="0" xfId="0" applyNumberFormat="1" applyFont="1" applyFill="1" applyBorder="1" applyAlignment="1">
      <alignment horizontal="right"/>
    </xf>
    <xf numFmtId="175" fontId="22" fillId="0" borderId="0" xfId="0" applyNumberFormat="1" applyFont="1" applyFill="1" applyBorder="1" applyAlignment="1">
      <alignment horizontal="center"/>
    </xf>
    <xf numFmtId="0" fontId="0" fillId="0" borderId="0" xfId="0" applyFill="1" applyBorder="1" applyAlignment="1">
      <alignment/>
    </xf>
    <xf numFmtId="175" fontId="23" fillId="2" borderId="58" xfId="0" applyNumberFormat="1" applyFont="1" applyFill="1" applyBorder="1" applyAlignment="1">
      <alignment horizontal="center"/>
    </xf>
    <xf numFmtId="175" fontId="23" fillId="2" borderId="142" xfId="0" applyNumberFormat="1" applyFont="1" applyFill="1" applyBorder="1" applyAlignment="1">
      <alignment horizontal="center"/>
    </xf>
    <xf numFmtId="3" fontId="23" fillId="2" borderId="0" xfId="0" applyNumberFormat="1" applyFont="1" applyFill="1" applyBorder="1" applyAlignment="1">
      <alignment horizontal="center"/>
    </xf>
    <xf numFmtId="0" fontId="18" fillId="0" borderId="197" xfId="0" applyFont="1" applyBorder="1" applyAlignment="1">
      <alignment/>
    </xf>
    <xf numFmtId="0" fontId="18" fillId="0" borderId="198" xfId="0" applyFont="1" applyBorder="1" applyAlignment="1">
      <alignment/>
    </xf>
    <xf numFmtId="0" fontId="18" fillId="0" borderId="199" xfId="0" applyFont="1" applyBorder="1" applyAlignment="1">
      <alignment/>
    </xf>
    <xf numFmtId="3" fontId="22" fillId="0" borderId="44" xfId="0" applyNumberFormat="1" applyFont="1" applyFill="1" applyBorder="1" applyAlignment="1">
      <alignment horizontal="right"/>
    </xf>
    <xf numFmtId="175" fontId="22" fillId="0" borderId="44" xfId="0" applyNumberFormat="1" applyFont="1" applyFill="1" applyBorder="1" applyAlignment="1">
      <alignment horizontal="right"/>
    </xf>
    <xf numFmtId="10" fontId="18" fillId="0" borderId="58" xfId="0" applyNumberFormat="1" applyFont="1" applyBorder="1" applyAlignment="1">
      <alignment horizontal="center" vertical="center"/>
    </xf>
    <xf numFmtId="0" fontId="18" fillId="0" borderId="58" xfId="0" applyFont="1" applyBorder="1" applyAlignment="1">
      <alignment horizontal="center" vertical="center"/>
    </xf>
    <xf numFmtId="175" fontId="23" fillId="14" borderId="44" xfId="0" applyNumberFormat="1" applyFont="1" applyFill="1" applyBorder="1" applyAlignment="1">
      <alignment horizontal="right"/>
    </xf>
    <xf numFmtId="175" fontId="23" fillId="2" borderId="200" xfId="0" applyNumberFormat="1" applyFont="1" applyFill="1" applyBorder="1" applyAlignment="1">
      <alignment horizontal="center"/>
    </xf>
    <xf numFmtId="175" fontId="23" fillId="15" borderId="44" xfId="0" applyNumberFormat="1" applyFont="1" applyFill="1" applyBorder="1" applyAlignment="1">
      <alignment horizontal="right"/>
    </xf>
    <xf numFmtId="0" fontId="0" fillId="2" borderId="0" xfId="0" applyFill="1" applyBorder="1" applyAlignment="1">
      <alignment/>
    </xf>
    <xf numFmtId="0" fontId="17" fillId="0" borderId="47" xfId="0" applyFont="1" applyBorder="1" applyAlignment="1">
      <alignment horizontal="center" wrapText="1"/>
    </xf>
    <xf numFmtId="4" fontId="22" fillId="2" borderId="0" xfId="0" applyNumberFormat="1" applyFont="1" applyFill="1" applyBorder="1" applyAlignment="1">
      <alignment horizontal="center"/>
    </xf>
    <xf numFmtId="4" fontId="22" fillId="2" borderId="55" xfId="0" applyNumberFormat="1" applyFont="1" applyFill="1" applyBorder="1" applyAlignment="1">
      <alignment horizontal="center"/>
    </xf>
    <xf numFmtId="4" fontId="22" fillId="2" borderId="58" xfId="0" applyNumberFormat="1" applyFont="1" applyFill="1" applyBorder="1" applyAlignment="1">
      <alignment horizontal="center"/>
    </xf>
    <xf numFmtId="10" fontId="22" fillId="2" borderId="142" xfId="0" applyNumberFormat="1" applyFont="1" applyFill="1" applyBorder="1" applyAlignment="1">
      <alignment horizontal="center"/>
    </xf>
    <xf numFmtId="4" fontId="23" fillId="2" borderId="55" xfId="0" applyNumberFormat="1" applyFont="1" applyFill="1" applyBorder="1" applyAlignment="1">
      <alignment horizontal="center"/>
    </xf>
    <xf numFmtId="4" fontId="23" fillId="2" borderId="58" xfId="0" applyNumberFormat="1" applyFont="1" applyFill="1" applyBorder="1" applyAlignment="1">
      <alignment horizontal="center"/>
    </xf>
    <xf numFmtId="2" fontId="23" fillId="2" borderId="55" xfId="0" applyNumberFormat="1" applyFont="1" applyFill="1" applyBorder="1" applyAlignment="1">
      <alignment horizontal="right"/>
    </xf>
    <xf numFmtId="2" fontId="23" fillId="2" borderId="58" xfId="0" applyNumberFormat="1" applyFont="1" applyFill="1" applyBorder="1" applyAlignment="1">
      <alignment horizontal="right"/>
    </xf>
    <xf numFmtId="0" fontId="0" fillId="0" borderId="0" xfId="0" applyBorder="1" applyAlignment="1">
      <alignment horizontal="center" wrapText="1"/>
    </xf>
    <xf numFmtId="0" fontId="17" fillId="0" borderId="47" xfId="0" applyFont="1" applyBorder="1" applyAlignment="1">
      <alignment horizontal="center" vertical="top" wrapText="1"/>
    </xf>
    <xf numFmtId="0" fontId="0" fillId="0" borderId="2" xfId="0" applyBorder="1" applyAlignment="1">
      <alignment horizontal="center" vertical="top" wrapText="1"/>
    </xf>
    <xf numFmtId="2" fontId="22" fillId="2" borderId="61" xfId="0" applyNumberFormat="1" applyFont="1" applyFill="1" applyBorder="1" applyAlignment="1">
      <alignment horizontal="center"/>
    </xf>
    <xf numFmtId="2" fontId="22" fillId="2" borderId="142" xfId="0" applyNumberFormat="1" applyFont="1" applyFill="1" applyBorder="1" applyAlignment="1">
      <alignment horizontal="right"/>
    </xf>
    <xf numFmtId="10" fontId="0" fillId="0" borderId="59" xfId="0" applyNumberFormat="1" applyBorder="1" applyAlignment="1">
      <alignment/>
    </xf>
    <xf numFmtId="2" fontId="22" fillId="2" borderId="127" xfId="0" applyNumberFormat="1" applyFont="1" applyFill="1" applyBorder="1" applyAlignment="1">
      <alignment horizontal="right"/>
    </xf>
    <xf numFmtId="10" fontId="0" fillId="0" borderId="18" xfId="0" applyNumberFormat="1" applyBorder="1" applyAlignment="1">
      <alignment/>
    </xf>
    <xf numFmtId="10" fontId="0" fillId="0" borderId="47" xfId="0" applyNumberFormat="1" applyBorder="1" applyAlignment="1">
      <alignment/>
    </xf>
    <xf numFmtId="2" fontId="22" fillId="2" borderId="55" xfId="0" applyNumberFormat="1" applyFont="1" applyFill="1" applyBorder="1" applyAlignment="1">
      <alignment horizontal="center"/>
    </xf>
    <xf numFmtId="2" fontId="22" fillId="2" borderId="58" xfId="0" applyNumberFormat="1" applyFont="1" applyFill="1" applyBorder="1" applyAlignment="1">
      <alignment horizontal="right"/>
    </xf>
    <xf numFmtId="10" fontId="0" fillId="0" borderId="142" xfId="0" applyNumberFormat="1" applyBorder="1" applyAlignment="1">
      <alignment/>
    </xf>
    <xf numFmtId="0" fontId="0" fillId="0" borderId="12" xfId="0" applyBorder="1" applyAlignment="1">
      <alignment/>
    </xf>
    <xf numFmtId="175" fontId="23" fillId="2" borderId="12" xfId="0" applyNumberFormat="1" applyFont="1" applyFill="1" applyBorder="1" applyAlignment="1">
      <alignment horizontal="center"/>
    </xf>
    <xf numFmtId="3" fontId="23" fillId="2" borderId="12" xfId="0" applyNumberFormat="1" applyFont="1" applyFill="1" applyBorder="1" applyAlignment="1">
      <alignment horizontal="center"/>
    </xf>
    <xf numFmtId="3" fontId="23" fillId="0" borderId="0" xfId="0" applyNumberFormat="1" applyFont="1" applyFill="1" applyBorder="1" applyAlignment="1">
      <alignment horizontal="center"/>
    </xf>
    <xf numFmtId="3" fontId="22" fillId="14" borderId="132" xfId="0" applyNumberFormat="1" applyFont="1" applyFill="1" applyBorder="1" applyAlignment="1">
      <alignment horizontal="right"/>
    </xf>
    <xf numFmtId="3" fontId="22" fillId="0" borderId="0" xfId="0" applyNumberFormat="1" applyFont="1" applyFill="1" applyBorder="1" applyAlignment="1">
      <alignment horizontal="right"/>
    </xf>
    <xf numFmtId="3" fontId="22" fillId="2" borderId="0" xfId="0" applyNumberFormat="1" applyFont="1" applyFill="1" applyBorder="1" applyAlignment="1">
      <alignment horizontal="right"/>
    </xf>
    <xf numFmtId="175" fontId="22" fillId="0" borderId="200" xfId="0" applyNumberFormat="1" applyFont="1" applyFill="1" applyBorder="1" applyAlignment="1">
      <alignment horizontal="right"/>
    </xf>
    <xf numFmtId="175" fontId="23" fillId="0" borderId="200" xfId="0" applyNumberFormat="1" applyFont="1" applyFill="1" applyBorder="1" applyAlignment="1">
      <alignment horizontal="right"/>
    </xf>
    <xf numFmtId="175" fontId="23" fillId="0" borderId="0" xfId="0" applyNumberFormat="1" applyFont="1" applyFill="1" applyBorder="1" applyAlignment="1">
      <alignment horizontal="center"/>
    </xf>
    <xf numFmtId="10" fontId="0" fillId="0" borderId="0" xfId="0" applyNumberFormat="1" applyFill="1" applyBorder="1" applyAlignment="1">
      <alignment/>
    </xf>
    <xf numFmtId="3" fontId="0" fillId="0" borderId="0" xfId="0" applyNumberFormat="1" applyFill="1" applyBorder="1" applyAlignment="1">
      <alignment/>
    </xf>
    <xf numFmtId="172" fontId="23" fillId="2" borderId="0" xfId="0" applyNumberFormat="1" applyFont="1" applyFill="1" applyBorder="1" applyAlignment="1">
      <alignment horizontal="center"/>
    </xf>
    <xf numFmtId="3" fontId="18" fillId="0" borderId="0" xfId="0" applyNumberFormat="1" applyFont="1" applyBorder="1" applyAlignment="1">
      <alignment/>
    </xf>
    <xf numFmtId="49" fontId="22" fillId="2" borderId="0" xfId="0" applyNumberFormat="1" applyFont="1" applyFill="1" applyBorder="1" applyAlignment="1">
      <alignment horizontal="center"/>
    </xf>
    <xf numFmtId="0" fontId="0" fillId="0" borderId="47" xfId="0" applyBorder="1" applyAlignment="1">
      <alignment horizontal="center" vertical="top" wrapText="1"/>
    </xf>
    <xf numFmtId="0" fontId="0" fillId="0" borderId="0" xfId="0" applyBorder="1" applyAlignment="1">
      <alignment horizontal="center" vertical="top" wrapText="1"/>
    </xf>
    <xf numFmtId="10" fontId="22" fillId="2" borderId="201" xfId="0" applyNumberFormat="1" applyFont="1" applyFill="1" applyBorder="1" applyAlignment="1">
      <alignment horizontal="center"/>
    </xf>
    <xf numFmtId="175" fontId="23" fillId="2" borderId="201" xfId="0" applyNumberFormat="1" applyFont="1" applyFill="1" applyBorder="1" applyAlignment="1">
      <alignment horizontal="center"/>
    </xf>
    <xf numFmtId="175" fontId="22" fillId="2" borderId="142" xfId="0" applyNumberFormat="1" applyFont="1" applyFill="1" applyBorder="1" applyAlignment="1">
      <alignment horizontal="right"/>
    </xf>
    <xf numFmtId="49" fontId="22" fillId="2" borderId="0" xfId="0" applyNumberFormat="1" applyFont="1" applyFill="1" applyBorder="1" applyAlignment="1">
      <alignment horizontal="right"/>
    </xf>
    <xf numFmtId="2" fontId="22" fillId="2" borderId="55" xfId="0" applyNumberFormat="1" applyFont="1" applyFill="1" applyBorder="1" applyAlignment="1">
      <alignment horizontal="right"/>
    </xf>
    <xf numFmtId="3" fontId="23" fillId="2" borderId="0" xfId="0" applyNumberFormat="1" applyFont="1" applyFill="1" applyBorder="1" applyAlignment="1">
      <alignment horizontal="right"/>
    </xf>
    <xf numFmtId="3" fontId="23" fillId="2" borderId="55" xfId="0" applyNumberFormat="1" applyFont="1" applyFill="1" applyBorder="1" applyAlignment="1">
      <alignment horizontal="right"/>
    </xf>
    <xf numFmtId="175" fontId="23" fillId="2" borderId="0" xfId="0" applyNumberFormat="1" applyFont="1" applyFill="1" applyBorder="1" applyAlignment="1">
      <alignment horizontal="right"/>
    </xf>
    <xf numFmtId="0" fontId="0" fillId="0" borderId="0" xfId="0" applyAlignment="1">
      <alignment horizontal="right" wrapText="1"/>
    </xf>
    <xf numFmtId="3" fontId="0" fillId="0" borderId="0" xfId="0" applyNumberFormat="1" applyAlignment="1">
      <alignment horizontal="right"/>
    </xf>
    <xf numFmtId="3" fontId="0" fillId="3" borderId="0" xfId="0" applyNumberFormat="1" applyFill="1" applyAlignment="1">
      <alignment/>
    </xf>
    <xf numFmtId="3" fontId="0" fillId="0" borderId="0" xfId="0" applyNumberFormat="1" applyFill="1" applyAlignment="1">
      <alignment/>
    </xf>
    <xf numFmtId="3" fontId="0" fillId="3" borderId="0" xfId="0" applyNumberFormat="1" applyFont="1" applyFill="1" applyAlignment="1">
      <alignment/>
    </xf>
    <xf numFmtId="0" fontId="18" fillId="0" borderId="202" xfId="0" applyFont="1" applyBorder="1" applyAlignment="1">
      <alignment/>
    </xf>
    <xf numFmtId="3" fontId="22" fillId="4" borderId="134" xfId="0" applyNumberFormat="1" applyFont="1" applyFill="1" applyBorder="1" applyAlignment="1">
      <alignment horizontal="center"/>
    </xf>
    <xf numFmtId="3" fontId="22" fillId="4" borderId="203" xfId="0" applyNumberFormat="1" applyFont="1" applyFill="1" applyBorder="1" applyAlignment="1">
      <alignment horizontal="center"/>
    </xf>
    <xf numFmtId="3" fontId="22" fillId="0" borderId="203" xfId="0" applyNumberFormat="1" applyFont="1" applyBorder="1" applyAlignment="1">
      <alignment horizontal="center" wrapText="1"/>
    </xf>
    <xf numFmtId="9" fontId="16" fillId="0" borderId="204" xfId="0" applyNumberFormat="1" applyFont="1" applyBorder="1" applyAlignment="1">
      <alignment horizontal="center"/>
    </xf>
    <xf numFmtId="0" fontId="18" fillId="0" borderId="205" xfId="0" applyFont="1" applyBorder="1" applyAlignment="1">
      <alignment/>
    </xf>
    <xf numFmtId="9" fontId="16" fillId="0" borderId="206" xfId="0" applyNumberFormat="1" applyFont="1" applyBorder="1" applyAlignment="1">
      <alignment horizontal="center"/>
    </xf>
    <xf numFmtId="0" fontId="18" fillId="0" borderId="207" xfId="0" applyFont="1" applyBorder="1" applyAlignment="1">
      <alignment/>
    </xf>
    <xf numFmtId="0" fontId="18" fillId="0" borderId="208" xfId="0" applyFont="1" applyBorder="1" applyAlignment="1">
      <alignment horizontal="center" vertical="center" wrapText="1"/>
    </xf>
    <xf numFmtId="0" fontId="18" fillId="0" borderId="209" xfId="0" applyFont="1" applyBorder="1" applyAlignment="1">
      <alignment horizontal="center" vertical="center" wrapText="1"/>
    </xf>
    <xf numFmtId="9" fontId="16" fillId="0" borderId="12" xfId="0" applyNumberFormat="1" applyFont="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xf>
    <xf numFmtId="0" fontId="46" fillId="16" borderId="0" xfId="0" applyFont="1" applyFill="1" applyAlignment="1">
      <alignment/>
    </xf>
    <xf numFmtId="0" fontId="0" fillId="16" borderId="0" xfId="0" applyFill="1" applyAlignment="1">
      <alignment/>
    </xf>
    <xf numFmtId="0" fontId="0" fillId="16" borderId="0" xfId="0" applyFill="1" applyBorder="1" applyAlignment="1">
      <alignment/>
    </xf>
    <xf numFmtId="0" fontId="47" fillId="16" borderId="0" xfId="0" applyFont="1" applyFill="1" applyAlignment="1">
      <alignment/>
    </xf>
    <xf numFmtId="0" fontId="49" fillId="0" borderId="0" xfId="0" applyFont="1" applyAlignment="1">
      <alignment wrapText="1"/>
    </xf>
    <xf numFmtId="0" fontId="0" fillId="0" borderId="0" xfId="0" applyBorder="1" applyAlignment="1">
      <alignment horizontal="left" vertical="top" wrapText="1"/>
    </xf>
    <xf numFmtId="3" fontId="23" fillId="0" borderId="0" xfId="0" applyNumberFormat="1" applyFont="1" applyBorder="1" applyAlignment="1">
      <alignment horizontal="right" vertical="center"/>
    </xf>
    <xf numFmtId="0" fontId="18" fillId="0" borderId="0" xfId="22" applyFont="1" applyBorder="1" applyAlignment="1" applyProtection="1">
      <alignment horizontal="left" vertical="center"/>
      <protection locked="0"/>
    </xf>
    <xf numFmtId="0" fontId="20" fillId="0" borderId="0" xfId="22" applyFont="1" applyBorder="1" applyAlignment="1" applyProtection="1">
      <alignment horizontal="center" vertical="center"/>
      <protection locked="0"/>
    </xf>
    <xf numFmtId="2" fontId="20" fillId="0" borderId="0" xfId="22" applyNumberFormat="1" applyFont="1" applyBorder="1" applyAlignment="1" applyProtection="1">
      <alignment horizontal="center" vertical="center"/>
      <protection locked="0"/>
    </xf>
    <xf numFmtId="2" fontId="0" fillId="0" borderId="0" xfId="0" applyNumberFormat="1" applyAlignment="1">
      <alignment/>
    </xf>
    <xf numFmtId="0" fontId="50" fillId="16" borderId="210" xfId="0" applyFont="1" applyFill="1" applyBorder="1" applyAlignment="1">
      <alignment/>
    </xf>
    <xf numFmtId="0" fontId="50" fillId="16" borderId="211" xfId="0" applyFont="1" applyFill="1" applyBorder="1" applyAlignment="1">
      <alignment/>
    </xf>
    <xf numFmtId="0" fontId="50" fillId="16" borderId="212" xfId="0" applyFont="1" applyFill="1" applyBorder="1" applyAlignment="1">
      <alignment/>
    </xf>
    <xf numFmtId="0" fontId="50" fillId="16" borderId="132" xfId="0" applyFont="1" applyFill="1" applyBorder="1" applyAlignment="1">
      <alignment/>
    </xf>
    <xf numFmtId="0" fontId="50" fillId="16" borderId="213" xfId="0" applyFont="1" applyFill="1" applyBorder="1" applyAlignment="1">
      <alignment/>
    </xf>
    <xf numFmtId="0" fontId="34" fillId="16" borderId="0" xfId="0" applyFont="1" applyFill="1" applyAlignment="1">
      <alignment/>
    </xf>
    <xf numFmtId="0" fontId="25" fillId="0" borderId="0" xfId="0" applyFont="1" applyAlignment="1">
      <alignment wrapText="1"/>
    </xf>
    <xf numFmtId="3" fontId="25" fillId="0" borderId="0" xfId="22" applyNumberFormat="1" applyFont="1" applyProtection="1">
      <alignment/>
      <protection locked="0"/>
    </xf>
    <xf numFmtId="0" fontId="25" fillId="0" borderId="0" xfId="22" applyFont="1" applyProtection="1">
      <alignment/>
      <protection locked="0"/>
    </xf>
    <xf numFmtId="0" fontId="6" fillId="0" borderId="0" xfId="0" applyFont="1" applyAlignment="1">
      <alignment/>
    </xf>
    <xf numFmtId="4" fontId="6" fillId="0" borderId="5" xfId="0" applyNumberFormat="1" applyFont="1" applyBorder="1" applyAlignment="1">
      <alignment vertical="center"/>
    </xf>
    <xf numFmtId="0" fontId="52" fillId="0" borderId="0" xfId="22" applyFont="1" applyAlignment="1" applyProtection="1">
      <alignment horizontal="left" vertical="center"/>
      <protection locked="0"/>
    </xf>
    <xf numFmtId="0" fontId="5" fillId="0" borderId="99"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left" vertical="center"/>
    </xf>
    <xf numFmtId="0" fontId="5" fillId="0" borderId="144" xfId="0" applyFont="1" applyBorder="1" applyAlignment="1">
      <alignment horizontal="left" vertical="center"/>
    </xf>
    <xf numFmtId="0" fontId="5" fillId="0" borderId="15" xfId="0" applyFont="1" applyBorder="1" applyAlignment="1">
      <alignment horizontal="center" vertical="center"/>
    </xf>
    <xf numFmtId="0" fontId="25" fillId="0" borderId="0" xfId="0" applyFont="1" applyAlignment="1">
      <alignment vertical="center" wrapText="1"/>
    </xf>
    <xf numFmtId="0" fontId="25" fillId="0" borderId="26" xfId="0" applyFont="1" applyBorder="1" applyAlignment="1">
      <alignment vertical="center" wrapText="1"/>
    </xf>
    <xf numFmtId="0" fontId="5" fillId="0" borderId="0" xfId="0" applyFont="1" applyAlignment="1">
      <alignment vertical="center" wrapText="1"/>
    </xf>
    <xf numFmtId="0" fontId="5" fillId="0" borderId="0" xfId="22" applyFont="1" applyBorder="1" applyAlignment="1" applyProtection="1">
      <alignment horizontal="left" vertical="center"/>
      <protection locked="0"/>
    </xf>
    <xf numFmtId="0" fontId="25" fillId="0" borderId="0" xfId="22" applyFont="1" applyBorder="1" applyAlignment="1" applyProtection="1">
      <alignment horizontal="center" vertical="center"/>
      <protection locked="0"/>
    </xf>
    <xf numFmtId="2" fontId="25" fillId="0" borderId="0" xfId="22" applyNumberFormat="1" applyFont="1" applyBorder="1" applyAlignment="1" applyProtection="1">
      <alignment horizontal="center" vertical="center"/>
      <protection locked="0"/>
    </xf>
    <xf numFmtId="0" fontId="25" fillId="0" borderId="0" xfId="22" applyFont="1" applyBorder="1" applyProtection="1">
      <alignment/>
      <protection locked="0"/>
    </xf>
    <xf numFmtId="3" fontId="6" fillId="0" borderId="5" xfId="0" applyNumberFormat="1" applyFont="1" applyBorder="1" applyAlignment="1">
      <alignment vertical="center"/>
    </xf>
    <xf numFmtId="0" fontId="25" fillId="0" borderId="61" xfId="0" applyFont="1" applyBorder="1" applyAlignment="1">
      <alignment horizontal="center" wrapText="1"/>
    </xf>
    <xf numFmtId="3" fontId="6" fillId="0" borderId="5" xfId="0" applyNumberFormat="1" applyFont="1" applyBorder="1" applyAlignment="1">
      <alignment horizontal="center" wrapText="1"/>
    </xf>
    <xf numFmtId="0" fontId="49" fillId="2" borderId="0" xfId="0" applyFont="1" applyFill="1" applyBorder="1" applyAlignment="1">
      <alignment/>
    </xf>
    <xf numFmtId="0" fontId="18" fillId="0" borderId="55" xfId="0" applyFont="1" applyBorder="1" applyAlignment="1">
      <alignment vertical="center" wrapText="1"/>
    </xf>
    <xf numFmtId="175" fontId="16" fillId="2" borderId="0" xfId="0" applyNumberFormat="1" applyFont="1" applyFill="1" applyBorder="1" applyAlignment="1">
      <alignment horizontal="center"/>
    </xf>
    <xf numFmtId="0" fontId="49" fillId="0" borderId="210" xfId="0" applyFont="1" applyBorder="1" applyAlignment="1">
      <alignment vertical="center"/>
    </xf>
    <xf numFmtId="175" fontId="22" fillId="0" borderId="0" xfId="0" applyNumberFormat="1" applyFont="1" applyFill="1" applyBorder="1" applyAlignment="1">
      <alignment horizontal="right" vertical="center"/>
    </xf>
    <xf numFmtId="0" fontId="18" fillId="0" borderId="210" xfId="0" applyFont="1" applyBorder="1" applyAlignment="1">
      <alignment vertical="center"/>
    </xf>
    <xf numFmtId="2" fontId="22" fillId="2" borderId="132" xfId="0" applyNumberFormat="1" applyFont="1" applyFill="1" applyBorder="1" applyAlignment="1">
      <alignment horizontal="right" vertical="center"/>
    </xf>
    <xf numFmtId="2" fontId="22" fillId="2" borderId="135" xfId="0" applyNumberFormat="1" applyFont="1" applyFill="1" applyBorder="1" applyAlignment="1">
      <alignment horizontal="right" vertical="center"/>
    </xf>
    <xf numFmtId="10" fontId="22" fillId="2" borderId="211" xfId="0" applyNumberFormat="1" applyFont="1" applyFill="1" applyBorder="1" applyAlignment="1">
      <alignment horizontal="center" vertical="center"/>
    </xf>
    <xf numFmtId="10" fontId="22" fillId="2" borderId="0" xfId="0" applyNumberFormat="1" applyFont="1" applyFill="1" applyBorder="1" applyAlignment="1">
      <alignment horizontal="center" vertical="center"/>
    </xf>
    <xf numFmtId="4" fontId="22" fillId="2" borderId="194" xfId="0" applyNumberFormat="1" applyFont="1" applyFill="1" applyBorder="1" applyAlignment="1">
      <alignment horizontal="center" vertical="center"/>
    </xf>
    <xf numFmtId="4" fontId="22" fillId="2" borderId="45" xfId="0" applyNumberFormat="1" applyFont="1" applyFill="1" applyBorder="1" applyAlignment="1">
      <alignment horizontal="center" vertical="center"/>
    </xf>
    <xf numFmtId="10" fontId="22" fillId="2" borderId="214" xfId="0" applyNumberFormat="1" applyFont="1" applyFill="1" applyBorder="1" applyAlignment="1">
      <alignment horizontal="center" vertical="center"/>
    </xf>
    <xf numFmtId="2" fontId="22" fillId="2" borderId="44" xfId="0" applyNumberFormat="1" applyFont="1" applyFill="1" applyBorder="1" applyAlignment="1">
      <alignment horizontal="right" vertical="center"/>
    </xf>
    <xf numFmtId="175" fontId="22" fillId="2" borderId="44" xfId="0" applyNumberFormat="1" applyFont="1" applyFill="1" applyBorder="1" applyAlignment="1">
      <alignment horizontal="right" vertical="center"/>
    </xf>
    <xf numFmtId="2" fontId="22" fillId="2" borderId="0" xfId="0" applyNumberFormat="1" applyFont="1" applyFill="1" applyBorder="1" applyAlignment="1">
      <alignment horizontal="center" vertical="center"/>
    </xf>
    <xf numFmtId="2" fontId="22" fillId="2" borderId="210" xfId="0" applyNumberFormat="1" applyFont="1" applyFill="1" applyBorder="1" applyAlignment="1">
      <alignment horizontal="right" vertical="center"/>
    </xf>
    <xf numFmtId="2" fontId="22" fillId="2" borderId="215" xfId="0" applyNumberFormat="1" applyFont="1" applyFill="1" applyBorder="1" applyAlignment="1">
      <alignment horizontal="right" vertical="center"/>
    </xf>
    <xf numFmtId="10" fontId="0" fillId="0" borderId="210" xfId="0" applyNumberFormat="1" applyBorder="1" applyAlignment="1">
      <alignment vertical="center"/>
    </xf>
    <xf numFmtId="3" fontId="0" fillId="0" borderId="0" xfId="0" applyNumberFormat="1" applyAlignment="1">
      <alignment vertical="center"/>
    </xf>
    <xf numFmtId="0" fontId="0" fillId="0" borderId="0" xfId="0" applyAlignment="1">
      <alignment vertical="center"/>
    </xf>
    <xf numFmtId="0" fontId="49" fillId="0" borderId="211" xfId="0" applyFont="1" applyBorder="1" applyAlignment="1">
      <alignment vertical="center"/>
    </xf>
    <xf numFmtId="0" fontId="18" fillId="0" borderId="211" xfId="0" applyFont="1" applyBorder="1" applyAlignment="1">
      <alignment vertical="center"/>
    </xf>
    <xf numFmtId="2" fontId="22" fillId="2" borderId="136" xfId="0" applyNumberFormat="1" applyFont="1" applyFill="1" applyBorder="1" applyAlignment="1">
      <alignment horizontal="right" vertical="center"/>
    </xf>
    <xf numFmtId="2" fontId="22" fillId="2" borderId="137" xfId="0" applyNumberFormat="1" applyFont="1" applyFill="1" applyBorder="1" applyAlignment="1">
      <alignment horizontal="right" vertical="center"/>
    </xf>
    <xf numFmtId="4" fontId="22" fillId="2" borderId="136" xfId="0" applyNumberFormat="1" applyFont="1" applyFill="1" applyBorder="1" applyAlignment="1">
      <alignment horizontal="center" vertical="center"/>
    </xf>
    <xf numFmtId="4" fontId="22" fillId="2" borderId="44" xfId="0" applyNumberFormat="1" applyFont="1" applyFill="1" applyBorder="1" applyAlignment="1">
      <alignment horizontal="center" vertical="center"/>
    </xf>
    <xf numFmtId="10" fontId="22" fillId="2" borderId="42" xfId="0" applyNumberFormat="1" applyFont="1" applyFill="1" applyBorder="1" applyAlignment="1">
      <alignment horizontal="center" vertical="center"/>
    </xf>
    <xf numFmtId="2" fontId="22" fillId="2" borderId="211" xfId="0" applyNumberFormat="1" applyFont="1" applyFill="1" applyBorder="1" applyAlignment="1">
      <alignment horizontal="right" vertical="center"/>
    </xf>
    <xf numFmtId="2" fontId="22" fillId="2" borderId="214" xfId="0" applyNumberFormat="1" applyFont="1" applyFill="1" applyBorder="1" applyAlignment="1">
      <alignment horizontal="right" vertical="center"/>
    </xf>
    <xf numFmtId="10" fontId="0" fillId="0" borderId="211" xfId="0" applyNumberFormat="1" applyBorder="1" applyAlignment="1">
      <alignment vertical="center"/>
    </xf>
    <xf numFmtId="2" fontId="22" fillId="17" borderId="211" xfId="0" applyNumberFormat="1" applyFont="1" applyFill="1" applyBorder="1" applyAlignment="1">
      <alignment horizontal="right" vertical="center"/>
    </xf>
    <xf numFmtId="0" fontId="49" fillId="0" borderId="212" xfId="0" applyFont="1" applyBorder="1" applyAlignment="1">
      <alignment vertical="center"/>
    </xf>
    <xf numFmtId="0" fontId="18" fillId="0" borderId="212" xfId="0" applyFont="1" applyBorder="1" applyAlignment="1">
      <alignment vertical="center"/>
    </xf>
    <xf numFmtId="2" fontId="22" fillId="2" borderId="213" xfId="0" applyNumberFormat="1" applyFont="1" applyFill="1" applyBorder="1" applyAlignment="1">
      <alignment horizontal="right" vertical="center"/>
    </xf>
    <xf numFmtId="2" fontId="22" fillId="2" borderId="148" xfId="0" applyNumberFormat="1" applyFont="1" applyFill="1" applyBorder="1" applyAlignment="1">
      <alignment horizontal="right" vertical="center"/>
    </xf>
    <xf numFmtId="10" fontId="22" fillId="2" borderId="212" xfId="0" applyNumberFormat="1" applyFont="1" applyFill="1" applyBorder="1" applyAlignment="1">
      <alignment horizontal="center" vertical="center"/>
    </xf>
    <xf numFmtId="4" fontId="22" fillId="2" borderId="213" xfId="0" applyNumberFormat="1" applyFont="1" applyFill="1" applyBorder="1" applyAlignment="1">
      <alignment horizontal="center" vertical="center"/>
    </xf>
    <xf numFmtId="4" fontId="22" fillId="2" borderId="216" xfId="0" applyNumberFormat="1" applyFont="1" applyFill="1" applyBorder="1" applyAlignment="1">
      <alignment horizontal="center" vertical="center"/>
    </xf>
    <xf numFmtId="10" fontId="22" fillId="2" borderId="217" xfId="0" applyNumberFormat="1" applyFont="1" applyFill="1" applyBorder="1" applyAlignment="1">
      <alignment horizontal="center" vertical="center"/>
    </xf>
    <xf numFmtId="2" fontId="22" fillId="3" borderId="212" xfId="0" applyNumberFormat="1" applyFont="1" applyFill="1" applyBorder="1" applyAlignment="1">
      <alignment horizontal="right" vertical="center"/>
    </xf>
    <xf numFmtId="2" fontId="22" fillId="2" borderId="53" xfId="0" applyNumberFormat="1" applyFont="1" applyFill="1" applyBorder="1" applyAlignment="1">
      <alignment horizontal="right" vertical="center"/>
    </xf>
    <xf numFmtId="10" fontId="0" fillId="0" borderId="212" xfId="0" applyNumberFormat="1" applyBorder="1" applyAlignment="1">
      <alignment vertical="center"/>
    </xf>
    <xf numFmtId="0" fontId="18" fillId="0" borderId="132" xfId="0" applyFont="1" applyBorder="1" applyAlignment="1">
      <alignment vertical="center"/>
    </xf>
    <xf numFmtId="0" fontId="0" fillId="0" borderId="0" xfId="0" applyFill="1" applyAlignment="1">
      <alignment horizontal="right" vertical="center"/>
    </xf>
    <xf numFmtId="2" fontId="22" fillId="2" borderId="92" xfId="0" applyNumberFormat="1" applyFont="1" applyFill="1" applyBorder="1" applyAlignment="1">
      <alignment horizontal="right" vertical="center"/>
    </xf>
    <xf numFmtId="2" fontId="22" fillId="2" borderId="135" xfId="0" applyNumberFormat="1" applyFont="1" applyFill="1" applyBorder="1" applyAlignment="1">
      <alignment horizontal="center" vertical="center"/>
    </xf>
    <xf numFmtId="4" fontId="22" fillId="2" borderId="132" xfId="0" applyNumberFormat="1" applyFont="1" applyFill="1" applyBorder="1" applyAlignment="1">
      <alignment horizontal="center" vertical="center"/>
    </xf>
    <xf numFmtId="4" fontId="22" fillId="2" borderId="92" xfId="0" applyNumberFormat="1" applyFont="1" applyFill="1" applyBorder="1" applyAlignment="1">
      <alignment horizontal="center" vertical="center"/>
    </xf>
    <xf numFmtId="2" fontId="22" fillId="2" borderId="215" xfId="0" applyNumberFormat="1" applyFont="1" applyFill="1" applyBorder="1" applyAlignment="1">
      <alignment horizontal="center" vertical="center"/>
    </xf>
    <xf numFmtId="3" fontId="22" fillId="2" borderId="132" xfId="0" applyNumberFormat="1" applyFont="1" applyFill="1" applyBorder="1" applyAlignment="1">
      <alignment horizontal="right" vertical="center"/>
    </xf>
    <xf numFmtId="175" fontId="22" fillId="2" borderId="135" xfId="0" applyNumberFormat="1" applyFont="1" applyFill="1" applyBorder="1" applyAlignment="1">
      <alignment horizontal="right" vertical="center"/>
    </xf>
    <xf numFmtId="3" fontId="22" fillId="2" borderId="0" xfId="0" applyNumberFormat="1" applyFont="1" applyFill="1" applyBorder="1" applyAlignment="1">
      <alignment horizontal="center" vertical="center"/>
    </xf>
    <xf numFmtId="0" fontId="18" fillId="0" borderId="197" xfId="0" applyFont="1" applyBorder="1" applyAlignment="1">
      <alignment vertical="center"/>
    </xf>
    <xf numFmtId="10" fontId="0" fillId="0" borderId="135" xfId="0" applyNumberFormat="1" applyBorder="1" applyAlignment="1">
      <alignment vertical="center"/>
    </xf>
    <xf numFmtId="0" fontId="18" fillId="0" borderId="213" xfId="0" applyFont="1" applyBorder="1" applyAlignment="1">
      <alignment vertical="center"/>
    </xf>
    <xf numFmtId="2" fontId="22" fillId="2" borderId="216" xfId="0" applyNumberFormat="1" applyFont="1" applyFill="1" applyBorder="1" applyAlignment="1">
      <alignment horizontal="right" vertical="center"/>
    </xf>
    <xf numFmtId="2" fontId="22" fillId="2" borderId="148" xfId="0" applyNumberFormat="1" applyFont="1" applyFill="1" applyBorder="1" applyAlignment="1">
      <alignment horizontal="center" vertical="center"/>
    </xf>
    <xf numFmtId="175" fontId="22" fillId="2" borderId="0" xfId="0" applyNumberFormat="1" applyFont="1" applyFill="1" applyBorder="1" applyAlignment="1">
      <alignment horizontal="center" vertical="center"/>
    </xf>
    <xf numFmtId="175" fontId="22" fillId="2" borderId="217" xfId="0" applyNumberFormat="1" applyFont="1" applyFill="1" applyBorder="1" applyAlignment="1">
      <alignment horizontal="center" vertical="center"/>
    </xf>
    <xf numFmtId="3" fontId="22" fillId="2" borderId="213" xfId="0" applyNumberFormat="1" applyFont="1" applyFill="1" applyBorder="1" applyAlignment="1">
      <alignment horizontal="right" vertical="center"/>
    </xf>
    <xf numFmtId="175" fontId="22" fillId="2" borderId="148" xfId="0" applyNumberFormat="1" applyFont="1" applyFill="1" applyBorder="1" applyAlignment="1">
      <alignment horizontal="right" vertical="center"/>
    </xf>
    <xf numFmtId="0" fontId="18" fillId="0" borderId="198" xfId="0" applyFont="1" applyBorder="1" applyAlignment="1">
      <alignment vertical="center"/>
    </xf>
    <xf numFmtId="10" fontId="0" fillId="0" borderId="148" xfId="0" applyNumberFormat="1" applyBorder="1"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2" borderId="0" xfId="0" applyFill="1" applyAlignment="1">
      <alignment vertical="center"/>
    </xf>
    <xf numFmtId="3" fontId="16" fillId="0" borderId="93" xfId="0" applyNumberFormat="1" applyFont="1" applyBorder="1" applyAlignment="1">
      <alignment horizontal="right" vertical="center"/>
    </xf>
    <xf numFmtId="3" fontId="16" fillId="2" borderId="93" xfId="0" applyNumberFormat="1" applyFont="1" applyFill="1" applyBorder="1" applyAlignment="1">
      <alignment horizontal="right" vertical="center"/>
    </xf>
    <xf numFmtId="0" fontId="16" fillId="0" borderId="138" xfId="0" applyFont="1" applyBorder="1" applyAlignment="1">
      <alignment vertical="center"/>
    </xf>
    <xf numFmtId="10" fontId="16" fillId="2" borderId="140" xfId="0" applyNumberFormat="1" applyFont="1" applyFill="1" applyBorder="1" applyAlignment="1">
      <alignment horizontal="right" vertical="center"/>
    </xf>
    <xf numFmtId="0" fontId="49" fillId="0" borderId="218" xfId="0" applyFont="1" applyBorder="1" applyAlignment="1">
      <alignment horizontal="center" vertical="center"/>
    </xf>
    <xf numFmtId="3" fontId="49" fillId="0" borderId="219" xfId="0" applyNumberFormat="1" applyFont="1" applyBorder="1" applyAlignment="1">
      <alignment horizontal="right" vertical="center"/>
    </xf>
    <xf numFmtId="3" fontId="49" fillId="2" borderId="219" xfId="0" applyNumberFormat="1" applyFont="1" applyFill="1" applyBorder="1" applyAlignment="1">
      <alignment horizontal="right" vertical="center"/>
    </xf>
    <xf numFmtId="10" fontId="49" fillId="2" borderId="220" xfId="0" applyNumberFormat="1" applyFont="1" applyFill="1" applyBorder="1" applyAlignment="1">
      <alignment horizontal="right" vertical="center"/>
    </xf>
    <xf numFmtId="0" fontId="18" fillId="0" borderId="61" xfId="0" applyFont="1" applyBorder="1" applyAlignment="1">
      <alignment wrapText="1"/>
    </xf>
    <xf numFmtId="3" fontId="22" fillId="0" borderId="0" xfId="0" applyNumberFormat="1" applyFont="1" applyFill="1" applyBorder="1" applyAlignment="1">
      <alignment horizontal="center"/>
    </xf>
    <xf numFmtId="10" fontId="23" fillId="0" borderId="180" xfId="23" applyNumberFormat="1" applyFont="1" applyBorder="1" applyProtection="1">
      <alignment/>
      <protection/>
    </xf>
    <xf numFmtId="10" fontId="43" fillId="0" borderId="181" xfId="23" applyNumberFormat="1" applyFont="1" applyBorder="1" applyProtection="1">
      <alignment/>
      <protection/>
    </xf>
    <xf numFmtId="10" fontId="23" fillId="0" borderId="182" xfId="23" applyNumberFormat="1" applyFont="1" applyBorder="1" applyAlignment="1" applyProtection="1">
      <alignment horizontal="right"/>
      <protection/>
    </xf>
    <xf numFmtId="10" fontId="23" fillId="0" borderId="186" xfId="23" applyNumberFormat="1" applyFont="1" applyBorder="1" applyAlignment="1" applyProtection="1">
      <alignment horizontal="right"/>
      <protection/>
    </xf>
    <xf numFmtId="10" fontId="23" fillId="0" borderId="183" xfId="23" applyNumberFormat="1" applyFont="1" applyBorder="1" applyAlignment="1" applyProtection="1">
      <alignment horizontal="right"/>
      <protection/>
    </xf>
    <xf numFmtId="10" fontId="23" fillId="0" borderId="184" xfId="23" applyNumberFormat="1" applyFont="1" applyBorder="1" applyAlignment="1" applyProtection="1">
      <alignment horizontal="right"/>
      <protection/>
    </xf>
    <xf numFmtId="10" fontId="23" fillId="0" borderId="185" xfId="23" applyNumberFormat="1" applyFont="1" applyBorder="1" applyAlignment="1" applyProtection="1">
      <alignment horizontal="right"/>
      <protection/>
    </xf>
    <xf numFmtId="10" fontId="23" fillId="0" borderId="181" xfId="23" applyNumberFormat="1" applyFont="1" applyBorder="1" applyAlignment="1" applyProtection="1">
      <alignment horizontal="right"/>
      <protection/>
    </xf>
    <xf numFmtId="179" fontId="23" fillId="0" borderId="157" xfId="23" applyNumberFormat="1" applyFont="1" applyBorder="1" applyProtection="1">
      <alignment/>
      <protection/>
    </xf>
    <xf numFmtId="0" fontId="43" fillId="0" borderId="172" xfId="23" applyNumberFormat="1" applyFont="1" applyBorder="1" applyProtection="1">
      <alignment/>
      <protection/>
    </xf>
    <xf numFmtId="3" fontId="23" fillId="0" borderId="0" xfId="23" applyNumberFormat="1" applyFont="1" applyBorder="1" applyAlignment="1" applyProtection="1">
      <alignment horizontal="right"/>
      <protection/>
    </xf>
    <xf numFmtId="3" fontId="23" fillId="0" borderId="172" xfId="23" applyNumberFormat="1" applyFont="1" applyBorder="1" applyAlignment="1" applyProtection="1">
      <alignment horizontal="right"/>
      <protection/>
    </xf>
    <xf numFmtId="10" fontId="23" fillId="0" borderId="157" xfId="23" applyNumberFormat="1" applyFont="1" applyBorder="1" applyProtection="1">
      <alignment/>
      <protection/>
    </xf>
    <xf numFmtId="10" fontId="43" fillId="0" borderId="172" xfId="23" applyNumberFormat="1" applyFont="1" applyBorder="1" applyProtection="1">
      <alignment/>
      <protection/>
    </xf>
    <xf numFmtId="10" fontId="23" fillId="0" borderId="178" xfId="23" applyNumberFormat="1" applyFont="1" applyBorder="1" applyAlignment="1" applyProtection="1">
      <alignment horizontal="right"/>
      <protection/>
    </xf>
    <xf numFmtId="10" fontId="23" fillId="0" borderId="172" xfId="23" applyNumberFormat="1" applyFont="1" applyBorder="1" applyAlignment="1" applyProtection="1">
      <alignment horizontal="right"/>
      <protection/>
    </xf>
    <xf numFmtId="180" fontId="22" fillId="0" borderId="157" xfId="23" applyNumberFormat="1" applyFont="1" applyFill="1" applyBorder="1" applyProtection="1">
      <alignment/>
      <protection/>
    </xf>
    <xf numFmtId="182" fontId="0" fillId="0" borderId="135" xfId="0" applyNumberFormat="1" applyBorder="1" applyAlignment="1">
      <alignment/>
    </xf>
    <xf numFmtId="182" fontId="0" fillId="0" borderId="137" xfId="0" applyNumberFormat="1" applyBorder="1" applyAlignment="1">
      <alignment/>
    </xf>
    <xf numFmtId="183" fontId="0" fillId="0" borderId="199" xfId="0" applyNumberFormat="1" applyBorder="1" applyAlignment="1">
      <alignment/>
    </xf>
    <xf numFmtId="183" fontId="17" fillId="0" borderId="198" xfId="0" applyNumberFormat="1" applyFont="1" applyBorder="1" applyAlignment="1">
      <alignment/>
    </xf>
    <xf numFmtId="183" fontId="0" fillId="0" borderId="197" xfId="0" applyNumberFormat="1" applyBorder="1" applyAlignment="1">
      <alignment/>
    </xf>
    <xf numFmtId="182" fontId="0" fillId="0" borderId="148" xfId="0" applyNumberFormat="1" applyBorder="1" applyAlignment="1">
      <alignment/>
    </xf>
    <xf numFmtId="183" fontId="17" fillId="0" borderId="61" xfId="0" applyNumberFormat="1" applyFont="1" applyBorder="1" applyAlignment="1">
      <alignment/>
    </xf>
    <xf numFmtId="183" fontId="17" fillId="0" borderId="221" xfId="0" applyNumberFormat="1" applyFont="1" applyBorder="1" applyAlignment="1">
      <alignment/>
    </xf>
    <xf numFmtId="183" fontId="17" fillId="0" borderId="18" xfId="0" applyNumberFormat="1" applyFont="1" applyBorder="1" applyAlignment="1">
      <alignment/>
    </xf>
    <xf numFmtId="9" fontId="17" fillId="0" borderId="18" xfId="0" applyNumberFormat="1" applyFont="1" applyBorder="1" applyAlignment="1">
      <alignment/>
    </xf>
    <xf numFmtId="3" fontId="0" fillId="0" borderId="0" xfId="22" applyNumberFormat="1" applyFont="1" applyFill="1" applyBorder="1" applyProtection="1">
      <alignment/>
      <protection/>
    </xf>
    <xf numFmtId="3" fontId="17" fillId="0" borderId="13" xfId="22" applyNumberFormat="1" applyFont="1" applyFill="1" applyBorder="1" applyAlignment="1" applyProtection="1">
      <alignment horizontal="center" vertical="center"/>
      <protection locked="0"/>
    </xf>
    <xf numFmtId="1" fontId="0" fillId="0" borderId="0" xfId="0" applyNumberFormat="1" applyAlignment="1">
      <alignment/>
    </xf>
    <xf numFmtId="182" fontId="0" fillId="0" borderId="0" xfId="0" applyNumberFormat="1" applyBorder="1" applyAlignment="1">
      <alignment/>
    </xf>
    <xf numFmtId="184" fontId="17" fillId="0" borderId="0" xfId="0" applyNumberFormat="1" applyFont="1" applyBorder="1" applyAlignment="1">
      <alignment horizontal="right"/>
    </xf>
    <xf numFmtId="9" fontId="17" fillId="0" borderId="0" xfId="0" applyNumberFormat="1" applyFont="1" applyBorder="1" applyAlignment="1">
      <alignment/>
    </xf>
    <xf numFmtId="182" fontId="0" fillId="0" borderId="210" xfId="0" applyNumberFormat="1" applyBorder="1" applyAlignment="1">
      <alignment/>
    </xf>
    <xf numFmtId="182" fontId="0" fillId="0" borderId="211" xfId="0" applyNumberFormat="1" applyBorder="1" applyAlignment="1">
      <alignment/>
    </xf>
    <xf numFmtId="182" fontId="0" fillId="0" borderId="212" xfId="0" applyNumberFormat="1" applyBorder="1" applyAlignment="1">
      <alignment/>
    </xf>
    <xf numFmtId="182" fontId="17" fillId="0" borderId="5" xfId="0" applyNumberFormat="1" applyFont="1" applyBorder="1" applyAlignment="1">
      <alignment/>
    </xf>
    <xf numFmtId="184" fontId="17" fillId="0" borderId="5" xfId="0" applyNumberFormat="1" applyFont="1" applyBorder="1" applyAlignment="1">
      <alignment horizontal="right"/>
    </xf>
    <xf numFmtId="184" fontId="17" fillId="0" borderId="50" xfId="0" applyNumberFormat="1" applyFont="1" applyBorder="1" applyAlignment="1">
      <alignment horizontal="right"/>
    </xf>
    <xf numFmtId="182" fontId="17" fillId="0" borderId="212" xfId="0" applyNumberFormat="1" applyFont="1" applyBorder="1" applyAlignment="1">
      <alignment/>
    </xf>
    <xf numFmtId="182" fontId="0" fillId="0" borderId="2" xfId="0" applyNumberFormat="1" applyBorder="1" applyAlignment="1">
      <alignment/>
    </xf>
    <xf numFmtId="9" fontId="0" fillId="0" borderId="0" xfId="0" applyNumberFormat="1" applyAlignment="1">
      <alignment/>
    </xf>
    <xf numFmtId="184" fontId="17" fillId="0" borderId="3" xfId="0" applyNumberFormat="1" applyFont="1" applyBorder="1" applyAlignment="1">
      <alignment horizontal="right"/>
    </xf>
    <xf numFmtId="9" fontId="0" fillId="0" borderId="47" xfId="0" applyNumberFormat="1" applyBorder="1" applyAlignment="1">
      <alignment/>
    </xf>
    <xf numFmtId="9" fontId="0" fillId="0" borderId="0" xfId="0" applyNumberFormat="1" applyBorder="1" applyAlignment="1">
      <alignment/>
    </xf>
    <xf numFmtId="184" fontId="17" fillId="0" borderId="12" xfId="0" applyNumberFormat="1" applyFont="1" applyBorder="1" applyAlignment="1">
      <alignment horizontal="right"/>
    </xf>
    <xf numFmtId="182" fontId="0" fillId="0" borderId="3" xfId="0" applyNumberFormat="1" applyBorder="1" applyAlignment="1">
      <alignment/>
    </xf>
    <xf numFmtId="182" fontId="17" fillId="0" borderId="0" xfId="0" applyNumberFormat="1" applyFont="1" applyBorder="1" applyAlignment="1">
      <alignment/>
    </xf>
    <xf numFmtId="3" fontId="0" fillId="0" borderId="47" xfId="0" applyNumberFormat="1" applyBorder="1" applyAlignment="1">
      <alignment/>
    </xf>
    <xf numFmtId="182" fontId="17" fillId="0" borderId="148" xfId="0" applyNumberFormat="1" applyFont="1" applyBorder="1" applyAlignment="1">
      <alignment/>
    </xf>
    <xf numFmtId="182" fontId="17" fillId="0" borderId="142" xfId="0" applyNumberFormat="1" applyFont="1" applyBorder="1" applyAlignment="1">
      <alignment/>
    </xf>
    <xf numFmtId="182" fontId="0" fillId="0" borderId="18" xfId="0" applyNumberFormat="1" applyBorder="1" applyAlignment="1">
      <alignment/>
    </xf>
    <xf numFmtId="183" fontId="17" fillId="0" borderId="3" xfId="0" applyNumberFormat="1" applyFont="1" applyBorder="1" applyAlignment="1">
      <alignment/>
    </xf>
    <xf numFmtId="9" fontId="17" fillId="0" borderId="47" xfId="0" applyNumberFormat="1" applyFont="1" applyBorder="1" applyAlignment="1">
      <alignment/>
    </xf>
    <xf numFmtId="183" fontId="0" fillId="0" borderId="18" xfId="0" applyNumberFormat="1" applyBorder="1" applyAlignment="1">
      <alignment/>
    </xf>
    <xf numFmtId="184" fontId="0" fillId="0" borderId="210" xfId="0" applyNumberFormat="1" applyFont="1" applyBorder="1" applyAlignment="1">
      <alignment horizontal="right"/>
    </xf>
    <xf numFmtId="184" fontId="0" fillId="0" borderId="211" xfId="0" applyNumberFormat="1" applyFont="1" applyBorder="1" applyAlignment="1">
      <alignment horizontal="right"/>
    </xf>
    <xf numFmtId="184" fontId="0" fillId="0" borderId="212" xfId="0" applyNumberFormat="1" applyFont="1" applyBorder="1" applyAlignment="1">
      <alignment horizontal="right"/>
    </xf>
    <xf numFmtId="184" fontId="17" fillId="0" borderId="212" xfId="0" applyNumberFormat="1" applyFont="1" applyBorder="1" applyAlignment="1">
      <alignment horizontal="right"/>
    </xf>
    <xf numFmtId="182" fontId="17" fillId="0" borderId="2" xfId="0" applyNumberFormat="1" applyFont="1" applyBorder="1" applyAlignment="1">
      <alignment/>
    </xf>
    <xf numFmtId="182" fontId="0" fillId="0" borderId="12" xfId="0" applyNumberFormat="1" applyBorder="1" applyAlignment="1">
      <alignment/>
    </xf>
    <xf numFmtId="9" fontId="0" fillId="0" borderId="12" xfId="0" applyNumberFormat="1" applyBorder="1" applyAlignment="1">
      <alignment/>
    </xf>
    <xf numFmtId="182" fontId="0" fillId="0" borderId="47" xfId="0" applyNumberFormat="1" applyBorder="1" applyAlignment="1">
      <alignment/>
    </xf>
    <xf numFmtId="3" fontId="17" fillId="0" borderId="61" xfId="0" applyNumberFormat="1" applyFont="1" applyBorder="1" applyAlignment="1">
      <alignment horizontal="center" vertical="center" wrapText="1"/>
    </xf>
    <xf numFmtId="3" fontId="17" fillId="0" borderId="5" xfId="0" applyNumberFormat="1" applyFont="1" applyBorder="1" applyAlignment="1">
      <alignment vertical="top" wrapText="1"/>
    </xf>
    <xf numFmtId="3" fontId="17" fillId="0" borderId="2" xfId="0" applyNumberFormat="1" applyFont="1" applyBorder="1" applyAlignment="1">
      <alignment vertical="top" wrapText="1"/>
    </xf>
    <xf numFmtId="9" fontId="17" fillId="0" borderId="5" xfId="0" applyNumberFormat="1" applyFont="1" applyBorder="1" applyAlignment="1">
      <alignment vertical="top" wrapText="1"/>
    </xf>
    <xf numFmtId="183" fontId="0" fillId="0" borderId="198" xfId="0" applyNumberFormat="1" applyBorder="1" applyAlignment="1">
      <alignment/>
    </xf>
    <xf numFmtId="186" fontId="25" fillId="0" borderId="211" xfId="22" applyNumberFormat="1" applyFont="1" applyBorder="1" applyAlignment="1" applyProtection="1">
      <alignment horizontal="right" vertical="center"/>
      <protection locked="0"/>
    </xf>
    <xf numFmtId="187" fontId="25" fillId="0" borderId="210" xfId="22" applyNumberFormat="1" applyFont="1" applyBorder="1" applyAlignment="1" applyProtection="1">
      <alignment horizontal="right" vertical="center"/>
      <protection locked="0"/>
    </xf>
    <xf numFmtId="187" fontId="25" fillId="0" borderId="222" xfId="22" applyNumberFormat="1" applyFont="1" applyBorder="1" applyAlignment="1" applyProtection="1">
      <alignment horizontal="right" vertical="center"/>
      <protection locked="0"/>
    </xf>
    <xf numFmtId="187" fontId="25" fillId="0" borderId="211" xfId="22" applyNumberFormat="1" applyFont="1" applyBorder="1" applyAlignment="1" applyProtection="1">
      <alignment horizontal="right" vertical="center"/>
      <protection locked="0"/>
    </xf>
    <xf numFmtId="187" fontId="25" fillId="0" borderId="22" xfId="0" applyNumberFormat="1" applyFont="1" applyFill="1" applyBorder="1" applyAlignment="1">
      <alignment horizontal="right" vertical="center"/>
    </xf>
    <xf numFmtId="187" fontId="25" fillId="0" borderId="196" xfId="0" applyNumberFormat="1" applyFont="1" applyFill="1" applyBorder="1" applyAlignment="1">
      <alignment horizontal="right" vertical="center"/>
    </xf>
    <xf numFmtId="187" fontId="5" fillId="0" borderId="27" xfId="0" applyNumberFormat="1" applyFont="1" applyBorder="1" applyAlignment="1">
      <alignment horizontal="right" vertical="center"/>
    </xf>
    <xf numFmtId="187" fontId="5" fillId="0" borderId="208" xfId="0" applyNumberFormat="1" applyFont="1" applyBorder="1" applyAlignment="1">
      <alignment horizontal="right" vertical="center"/>
    </xf>
    <xf numFmtId="187" fontId="25" fillId="0" borderId="104" xfId="0" applyNumberFormat="1" applyFont="1" applyBorder="1" applyAlignment="1">
      <alignment vertical="center"/>
    </xf>
    <xf numFmtId="187" fontId="25" fillId="0" borderId="108" xfId="0" applyNumberFormat="1" applyFont="1" applyBorder="1" applyAlignment="1">
      <alignment vertical="center" wrapText="1"/>
    </xf>
    <xf numFmtId="187" fontId="5" fillId="0" borderId="29" xfId="0" applyNumberFormat="1" applyFont="1" applyBorder="1" applyAlignment="1">
      <alignment horizontal="center" vertical="center" wrapText="1"/>
    </xf>
    <xf numFmtId="188" fontId="25" fillId="0" borderId="23" xfId="0" applyNumberFormat="1" applyFont="1" applyBorder="1" applyAlignment="1">
      <alignment horizontal="right" vertical="center"/>
    </xf>
    <xf numFmtId="188" fontId="25" fillId="0" borderId="223" xfId="0" applyNumberFormat="1" applyFont="1" applyBorder="1" applyAlignment="1">
      <alignment horizontal="right" vertical="center"/>
    </xf>
    <xf numFmtId="189" fontId="25" fillId="0" borderId="206" xfId="22" applyNumberFormat="1" applyFont="1" applyBorder="1" applyAlignment="1" applyProtection="1">
      <alignment horizontal="right" vertical="center"/>
      <protection locked="0"/>
    </xf>
    <xf numFmtId="189" fontId="25" fillId="0" borderId="224" xfId="22" applyNumberFormat="1" applyFont="1" applyBorder="1" applyAlignment="1" applyProtection="1">
      <alignment horizontal="right" vertical="center"/>
      <protection locked="0"/>
    </xf>
    <xf numFmtId="190" fontId="25" fillId="0" borderId="204" xfId="22" applyNumberFormat="1" applyFont="1" applyBorder="1" applyAlignment="1" applyProtection="1">
      <alignment horizontal="right" vertical="center"/>
      <protection locked="0"/>
    </xf>
    <xf numFmtId="187" fontId="16" fillId="14" borderId="132" xfId="0" applyNumberFormat="1" applyFont="1" applyFill="1" applyBorder="1" applyAlignment="1">
      <alignment horizontal="right"/>
    </xf>
    <xf numFmtId="187" fontId="16" fillId="14" borderId="136" xfId="0" applyNumberFormat="1" applyFont="1" applyFill="1" applyBorder="1" applyAlignment="1">
      <alignment horizontal="right"/>
    </xf>
    <xf numFmtId="187" fontId="16" fillId="14" borderId="213" xfId="0" applyNumberFormat="1" applyFont="1" applyFill="1" applyBorder="1" applyAlignment="1">
      <alignment horizontal="right"/>
    </xf>
    <xf numFmtId="187" fontId="16" fillId="2" borderId="0" xfId="0" applyNumberFormat="1" applyFont="1" applyFill="1" applyBorder="1" applyAlignment="1">
      <alignment horizontal="center"/>
    </xf>
    <xf numFmtId="187" fontId="0" fillId="0" borderId="0" xfId="0" applyNumberFormat="1" applyAlignment="1">
      <alignment/>
    </xf>
    <xf numFmtId="187" fontId="16" fillId="14" borderId="92" xfId="0" applyNumberFormat="1" applyFont="1" applyFill="1" applyBorder="1" applyAlignment="1">
      <alignment horizontal="right"/>
    </xf>
    <xf numFmtId="187" fontId="16" fillId="14" borderId="44" xfId="0" applyNumberFormat="1" applyFont="1" applyFill="1" applyBorder="1" applyAlignment="1">
      <alignment horizontal="right"/>
    </xf>
    <xf numFmtId="187" fontId="16" fillId="14" borderId="216" xfId="0" applyNumberFormat="1" applyFont="1" applyFill="1" applyBorder="1" applyAlignment="1">
      <alignment horizontal="right"/>
    </xf>
    <xf numFmtId="187" fontId="16" fillId="0" borderId="210" xfId="0" applyNumberFormat="1" applyFont="1" applyFill="1" applyBorder="1" applyAlignment="1">
      <alignment horizontal="right"/>
    </xf>
    <xf numFmtId="187" fontId="16" fillId="0" borderId="211" xfId="0" applyNumberFormat="1" applyFont="1" applyFill="1" applyBorder="1" applyAlignment="1">
      <alignment horizontal="right"/>
    </xf>
    <xf numFmtId="187" fontId="16" fillId="0" borderId="212" xfId="0" applyNumberFormat="1" applyFont="1" applyFill="1" applyBorder="1" applyAlignment="1">
      <alignment horizontal="right"/>
    </xf>
    <xf numFmtId="187" fontId="16" fillId="0" borderId="0" xfId="0" applyNumberFormat="1" applyFont="1" applyFill="1" applyBorder="1" applyAlignment="1">
      <alignment horizontal="right"/>
    </xf>
    <xf numFmtId="191" fontId="16" fillId="14" borderId="92" xfId="0" applyNumberFormat="1" applyFont="1" applyFill="1" applyBorder="1" applyAlignment="1">
      <alignment horizontal="right"/>
    </xf>
    <xf numFmtId="191" fontId="16" fillId="14" borderId="44" xfId="0" applyNumberFormat="1" applyFont="1" applyFill="1" applyBorder="1" applyAlignment="1">
      <alignment horizontal="right"/>
    </xf>
    <xf numFmtId="191" fontId="16" fillId="14" borderId="216" xfId="0" applyNumberFormat="1" applyFont="1" applyFill="1" applyBorder="1" applyAlignment="1">
      <alignment horizontal="right"/>
    </xf>
    <xf numFmtId="191" fontId="16" fillId="2" borderId="0" xfId="0" applyNumberFormat="1" applyFont="1" applyFill="1" applyBorder="1" applyAlignment="1">
      <alignment horizontal="center"/>
    </xf>
    <xf numFmtId="191" fontId="0" fillId="0" borderId="0" xfId="0" applyNumberFormat="1" applyAlignment="1">
      <alignment/>
    </xf>
    <xf numFmtId="191" fontId="16" fillId="14" borderId="215" xfId="0" applyNumberFormat="1" applyFont="1" applyFill="1" applyBorder="1" applyAlignment="1">
      <alignment horizontal="right"/>
    </xf>
    <xf numFmtId="191" fontId="16" fillId="14" borderId="42" xfId="0" applyNumberFormat="1" applyFont="1" applyFill="1" applyBorder="1" applyAlignment="1">
      <alignment horizontal="right"/>
    </xf>
    <xf numFmtId="191" fontId="16" fillId="14" borderId="217" xfId="0" applyNumberFormat="1" applyFont="1" applyFill="1" applyBorder="1" applyAlignment="1">
      <alignment horizontal="right"/>
    </xf>
    <xf numFmtId="0" fontId="18" fillId="0" borderId="61" xfId="0" applyFont="1" applyBorder="1" applyAlignment="1">
      <alignment horizontal="left"/>
    </xf>
    <xf numFmtId="187" fontId="18" fillId="2" borderId="55" xfId="0" applyNumberFormat="1" applyFont="1" applyFill="1" applyBorder="1" applyAlignment="1">
      <alignment horizontal="right" vertical="center"/>
    </xf>
    <xf numFmtId="191" fontId="18" fillId="2" borderId="58" xfId="0" applyNumberFormat="1" applyFont="1" applyFill="1" applyBorder="1" applyAlignment="1">
      <alignment horizontal="center" vertical="center"/>
    </xf>
    <xf numFmtId="187" fontId="18" fillId="2" borderId="58" xfId="0" applyNumberFormat="1" applyFont="1" applyFill="1" applyBorder="1" applyAlignment="1">
      <alignment horizontal="right" vertical="center"/>
    </xf>
    <xf numFmtId="187" fontId="18" fillId="0" borderId="142" xfId="0" applyNumberFormat="1" applyFont="1" applyFill="1" applyBorder="1" applyAlignment="1">
      <alignment horizontal="right" vertical="center"/>
    </xf>
    <xf numFmtId="175" fontId="58" fillId="2" borderId="0" xfId="0" applyNumberFormat="1" applyFont="1" applyFill="1" applyBorder="1" applyAlignment="1">
      <alignment horizontal="center"/>
    </xf>
    <xf numFmtId="0" fontId="3" fillId="0" borderId="0" xfId="0" applyFont="1" applyAlignment="1">
      <alignment/>
    </xf>
    <xf numFmtId="187" fontId="18" fillId="0" borderId="55" xfId="0" applyNumberFormat="1" applyFont="1" applyFill="1" applyBorder="1" applyAlignment="1">
      <alignment horizontal="right"/>
    </xf>
    <xf numFmtId="191" fontId="18" fillId="0" borderId="58" xfId="0" applyNumberFormat="1" applyFont="1" applyFill="1" applyBorder="1" applyAlignment="1">
      <alignment horizontal="right"/>
    </xf>
    <xf numFmtId="187" fontId="18" fillId="0" borderId="58" xfId="0" applyNumberFormat="1" applyFont="1" applyFill="1" applyBorder="1" applyAlignment="1">
      <alignment horizontal="right"/>
    </xf>
    <xf numFmtId="191" fontId="18" fillId="0" borderId="142" xfId="0" applyNumberFormat="1" applyFont="1" applyFill="1" applyBorder="1" applyAlignment="1">
      <alignment horizontal="right"/>
    </xf>
    <xf numFmtId="187" fontId="18" fillId="0" borderId="59" xfId="0" applyNumberFormat="1" applyFont="1" applyFill="1" applyBorder="1" applyAlignment="1">
      <alignment horizontal="right"/>
    </xf>
    <xf numFmtId="2" fontId="58" fillId="2" borderId="194" xfId="0" applyNumberFormat="1" applyFont="1" applyFill="1" applyBorder="1" applyAlignment="1">
      <alignment horizontal="right"/>
    </xf>
    <xf numFmtId="2" fontId="58" fillId="2" borderId="0" xfId="0" applyNumberFormat="1" applyFont="1" applyFill="1" applyBorder="1" applyAlignment="1">
      <alignment horizontal="right"/>
    </xf>
    <xf numFmtId="10" fontId="58" fillId="2" borderId="0" xfId="0" applyNumberFormat="1" applyFont="1" applyFill="1" applyBorder="1" applyAlignment="1">
      <alignment horizontal="center"/>
    </xf>
    <xf numFmtId="2" fontId="58" fillId="2" borderId="0" xfId="0" applyNumberFormat="1" applyFont="1" applyFill="1" applyBorder="1" applyAlignment="1">
      <alignment horizontal="center"/>
    </xf>
    <xf numFmtId="0" fontId="58" fillId="0" borderId="0" xfId="0" applyFont="1" applyAlignment="1">
      <alignment/>
    </xf>
    <xf numFmtId="10" fontId="18" fillId="0" borderId="225" xfId="0" applyNumberFormat="1" applyFont="1" applyFill="1" applyBorder="1" applyAlignment="1">
      <alignment horizontal="center" vertical="center"/>
    </xf>
    <xf numFmtId="0" fontId="18" fillId="0" borderId="226" xfId="0" applyFont="1" applyBorder="1" applyAlignment="1">
      <alignment/>
    </xf>
    <xf numFmtId="187" fontId="16" fillId="14" borderId="138" xfId="0" applyNumberFormat="1" applyFont="1" applyFill="1" applyBorder="1" applyAlignment="1">
      <alignment horizontal="right"/>
    </xf>
    <xf numFmtId="191" fontId="16" fillId="14" borderId="93" xfId="0" applyNumberFormat="1" applyFont="1" applyFill="1" applyBorder="1" applyAlignment="1">
      <alignment horizontal="right"/>
    </xf>
    <xf numFmtId="187" fontId="16" fillId="14" borderId="93" xfId="0" applyNumberFormat="1" applyFont="1" applyFill="1" applyBorder="1" applyAlignment="1">
      <alignment horizontal="right"/>
    </xf>
    <xf numFmtId="191" fontId="16" fillId="14" borderId="107" xfId="0" applyNumberFormat="1" applyFont="1" applyFill="1" applyBorder="1" applyAlignment="1">
      <alignment horizontal="right"/>
    </xf>
    <xf numFmtId="187" fontId="16" fillId="0" borderId="227" xfId="0" applyNumberFormat="1" applyFont="1" applyFill="1" applyBorder="1" applyAlignment="1">
      <alignment horizontal="right"/>
    </xf>
    <xf numFmtId="0" fontId="18" fillId="0" borderId="228" xfId="0" applyFont="1" applyBorder="1" applyAlignment="1">
      <alignment/>
    </xf>
    <xf numFmtId="187" fontId="16" fillId="14" borderId="194" xfId="0" applyNumberFormat="1" applyFont="1" applyFill="1" applyBorder="1" applyAlignment="1">
      <alignment horizontal="right"/>
    </xf>
    <xf numFmtId="191" fontId="16" fillId="14" borderId="45" xfId="0" applyNumberFormat="1" applyFont="1" applyFill="1" applyBorder="1" applyAlignment="1">
      <alignment horizontal="right"/>
    </xf>
    <xf numFmtId="187" fontId="16" fillId="14" borderId="45" xfId="0" applyNumberFormat="1" applyFont="1" applyFill="1" applyBorder="1" applyAlignment="1">
      <alignment horizontal="right"/>
    </xf>
    <xf numFmtId="191" fontId="16" fillId="14" borderId="214" xfId="0" applyNumberFormat="1" applyFont="1" applyFill="1" applyBorder="1" applyAlignment="1">
      <alignment horizontal="right"/>
    </xf>
    <xf numFmtId="187" fontId="16" fillId="0" borderId="222" xfId="0" applyNumberFormat="1" applyFont="1" applyFill="1" applyBorder="1" applyAlignment="1">
      <alignment horizontal="right"/>
    </xf>
    <xf numFmtId="3" fontId="17" fillId="0" borderId="225" xfId="0" applyNumberFormat="1" applyFont="1" applyBorder="1" applyAlignment="1">
      <alignment vertical="top" wrapText="1"/>
    </xf>
    <xf numFmtId="9" fontId="17" fillId="0" borderId="225" xfId="0" applyNumberFormat="1" applyFont="1" applyBorder="1" applyAlignment="1">
      <alignment vertical="top" wrapText="1"/>
    </xf>
    <xf numFmtId="3" fontId="17" fillId="0" borderId="5" xfId="0" applyNumberFormat="1" applyFont="1" applyBorder="1" applyAlignment="1">
      <alignment horizontal="center" vertical="center"/>
    </xf>
    <xf numFmtId="0" fontId="49" fillId="0" borderId="213" xfId="0" applyFont="1" applyBorder="1" applyAlignment="1">
      <alignment horizontal="center" vertical="center"/>
    </xf>
    <xf numFmtId="10" fontId="49" fillId="0" borderId="216" xfId="0" applyNumberFormat="1" applyFont="1" applyBorder="1" applyAlignment="1">
      <alignment horizontal="center" vertical="center"/>
    </xf>
    <xf numFmtId="0" fontId="49" fillId="0" borderId="216" xfId="0" applyFont="1" applyBorder="1" applyAlignment="1">
      <alignment horizontal="center" vertical="center"/>
    </xf>
    <xf numFmtId="10" fontId="49" fillId="0" borderId="148" xfId="0" applyNumberFormat="1" applyFont="1" applyBorder="1" applyAlignment="1">
      <alignment horizontal="center" vertical="center"/>
    </xf>
    <xf numFmtId="0" fontId="49" fillId="0" borderId="227" xfId="0" applyFont="1" applyBorder="1" applyAlignment="1">
      <alignment vertical="center"/>
    </xf>
    <xf numFmtId="0" fontId="49" fillId="0" borderId="222" xfId="0" applyFont="1" applyBorder="1" applyAlignment="1">
      <alignment vertical="center"/>
    </xf>
    <xf numFmtId="187" fontId="16" fillId="5" borderId="22" xfId="0" applyNumberFormat="1" applyFont="1" applyFill="1" applyBorder="1" applyAlignment="1">
      <alignment horizontal="right" vertical="center"/>
    </xf>
    <xf numFmtId="187" fontId="16" fillId="5" borderId="43" xfId="0" applyNumberFormat="1" applyFont="1" applyFill="1" applyBorder="1" applyAlignment="1">
      <alignment horizontal="right" vertical="center"/>
    </xf>
    <xf numFmtId="187" fontId="16" fillId="5" borderId="129" xfId="0" applyNumberFormat="1" applyFont="1" applyFill="1" applyBorder="1" applyAlignment="1">
      <alignment horizontal="right" vertical="center"/>
    </xf>
    <xf numFmtId="187" fontId="16" fillId="5" borderId="134" xfId="0" applyNumberFormat="1" applyFont="1" applyFill="1" applyBorder="1" applyAlignment="1">
      <alignment horizontal="right" vertical="center"/>
    </xf>
    <xf numFmtId="187" fontId="16" fillId="5" borderId="229" xfId="0" applyNumberFormat="1" applyFont="1" applyFill="1" applyBorder="1" applyAlignment="1">
      <alignment horizontal="right" vertical="center"/>
    </xf>
    <xf numFmtId="187" fontId="16" fillId="2" borderId="0" xfId="0" applyNumberFormat="1" applyFont="1" applyFill="1" applyBorder="1" applyAlignment="1">
      <alignment horizontal="right"/>
    </xf>
    <xf numFmtId="187" fontId="16" fillId="5" borderId="92" xfId="0" applyNumberFormat="1" applyFont="1" applyFill="1" applyBorder="1" applyAlignment="1">
      <alignment horizontal="right" vertical="center"/>
    </xf>
    <xf numFmtId="187" fontId="16" fillId="5" borderId="216" xfId="0" applyNumberFormat="1" applyFont="1" applyFill="1" applyBorder="1" applyAlignment="1">
      <alignment horizontal="right" vertical="center"/>
    </xf>
    <xf numFmtId="187" fontId="16" fillId="5" borderId="45" xfId="0" applyNumberFormat="1" applyFont="1" applyFill="1" applyBorder="1" applyAlignment="1">
      <alignment horizontal="right" vertical="center"/>
    </xf>
    <xf numFmtId="187" fontId="16" fillId="5" borderId="44" xfId="0" applyNumberFormat="1" applyFont="1" applyFill="1" applyBorder="1" applyAlignment="1">
      <alignment horizontal="right" vertical="center"/>
    </xf>
    <xf numFmtId="187" fontId="16" fillId="5" borderId="93" xfId="0" applyNumberFormat="1" applyFont="1" applyFill="1" applyBorder="1" applyAlignment="1">
      <alignment horizontal="right" vertical="center"/>
    </xf>
    <xf numFmtId="187" fontId="49" fillId="0" borderId="0" xfId="0" applyNumberFormat="1" applyFont="1" applyFill="1" applyBorder="1" applyAlignment="1">
      <alignment horizontal="center"/>
    </xf>
    <xf numFmtId="187" fontId="16" fillId="0" borderId="210" xfId="0" applyNumberFormat="1" applyFont="1" applyFill="1" applyBorder="1" applyAlignment="1">
      <alignment horizontal="right" vertical="center"/>
    </xf>
    <xf numFmtId="187" fontId="16" fillId="0" borderId="212" xfId="0" applyNumberFormat="1" applyFont="1" applyFill="1" applyBorder="1" applyAlignment="1">
      <alignment horizontal="right" vertical="center"/>
    </xf>
    <xf numFmtId="191" fontId="16" fillId="5" borderId="45" xfId="0" applyNumberFormat="1" applyFont="1" applyFill="1" applyBorder="1" applyAlignment="1">
      <alignment horizontal="right" vertical="center"/>
    </xf>
    <xf numFmtId="191" fontId="16" fillId="5" borderId="44" xfId="0" applyNumberFormat="1" applyFont="1" applyFill="1" applyBorder="1" applyAlignment="1">
      <alignment horizontal="right" vertical="center"/>
    </xf>
    <xf numFmtId="191" fontId="16" fillId="5" borderId="93" xfId="0" applyNumberFormat="1" applyFont="1" applyFill="1" applyBorder="1" applyAlignment="1">
      <alignment horizontal="right" vertical="center"/>
    </xf>
    <xf numFmtId="191" fontId="16" fillId="5" borderId="92" xfId="0" applyNumberFormat="1" applyFont="1" applyFill="1" applyBorder="1" applyAlignment="1">
      <alignment horizontal="right" vertical="center"/>
    </xf>
    <xf numFmtId="191" fontId="16" fillId="5" borderId="216" xfId="0" applyNumberFormat="1" applyFont="1" applyFill="1" applyBorder="1" applyAlignment="1">
      <alignment horizontal="right" vertical="center"/>
    </xf>
    <xf numFmtId="191" fontId="16" fillId="2" borderId="0" xfId="0" applyNumberFormat="1" applyFont="1" applyFill="1" applyBorder="1" applyAlignment="1">
      <alignment horizontal="right"/>
    </xf>
    <xf numFmtId="191" fontId="16" fillId="5" borderId="215" xfId="0" applyNumberFormat="1" applyFont="1" applyFill="1" applyBorder="1" applyAlignment="1">
      <alignment horizontal="right" vertical="center"/>
    </xf>
    <xf numFmtId="191" fontId="16" fillId="5" borderId="217" xfId="0" applyNumberFormat="1" applyFont="1" applyFill="1" applyBorder="1" applyAlignment="1">
      <alignment horizontal="right" vertical="center"/>
    </xf>
    <xf numFmtId="0" fontId="18" fillId="0" borderId="5" xfId="0" applyFont="1" applyBorder="1" applyAlignment="1">
      <alignment horizontal="center" vertical="center"/>
    </xf>
    <xf numFmtId="191" fontId="16" fillId="5" borderId="214" xfId="0" applyNumberFormat="1" applyFont="1" applyFill="1" applyBorder="1" applyAlignment="1">
      <alignment horizontal="right" vertical="center"/>
    </xf>
    <xf numFmtId="191" fontId="16" fillId="5" borderId="42" xfId="0" applyNumberFormat="1" applyFont="1" applyFill="1" applyBorder="1" applyAlignment="1">
      <alignment horizontal="right" vertical="center"/>
    </xf>
    <xf numFmtId="191" fontId="16" fillId="5" borderId="107" xfId="0" applyNumberFormat="1" applyFont="1" applyFill="1" applyBorder="1" applyAlignment="1">
      <alignment horizontal="right" vertical="center"/>
    </xf>
    <xf numFmtId="187" fontId="16" fillId="0" borderId="211" xfId="0" applyNumberFormat="1" applyFont="1" applyFill="1" applyBorder="1" applyAlignment="1">
      <alignment horizontal="right" vertical="center"/>
    </xf>
    <xf numFmtId="0" fontId="49" fillId="0" borderId="1" xfId="0" applyFont="1" applyBorder="1" applyAlignment="1">
      <alignment horizontal="center" vertical="center"/>
    </xf>
    <xf numFmtId="0" fontId="49" fillId="0" borderId="210" xfId="0" applyFont="1" applyFill="1" applyBorder="1" applyAlignment="1">
      <alignment horizontal="center" vertical="center"/>
    </xf>
    <xf numFmtId="187" fontId="16" fillId="0" borderId="227" xfId="0" applyNumberFormat="1" applyFont="1" applyFill="1" applyBorder="1" applyAlignment="1">
      <alignment horizontal="right" vertical="center"/>
    </xf>
    <xf numFmtId="187" fontId="16" fillId="0" borderId="222" xfId="0" applyNumberFormat="1" applyFont="1" applyFill="1" applyBorder="1" applyAlignment="1">
      <alignment horizontal="right" vertical="center"/>
    </xf>
    <xf numFmtId="0" fontId="18" fillId="0" borderId="55" xfId="0" applyFont="1" applyBorder="1" applyAlignment="1">
      <alignment vertical="center"/>
    </xf>
    <xf numFmtId="191" fontId="18" fillId="2" borderId="58" xfId="0" applyNumberFormat="1" applyFont="1" applyFill="1" applyBorder="1" applyAlignment="1">
      <alignment horizontal="right" vertical="center"/>
    </xf>
    <xf numFmtId="187" fontId="18" fillId="0" borderId="5" xfId="0" applyNumberFormat="1" applyFont="1" applyFill="1" applyBorder="1" applyAlignment="1">
      <alignment horizontal="right" vertical="center"/>
    </xf>
    <xf numFmtId="187" fontId="18" fillId="2" borderId="5" xfId="0" applyNumberFormat="1" applyFont="1" applyFill="1" applyBorder="1" applyAlignment="1">
      <alignment horizontal="right" vertical="center"/>
    </xf>
    <xf numFmtId="3" fontId="0" fillId="0" borderId="0" xfId="0" applyNumberFormat="1" applyBorder="1" applyAlignment="1">
      <alignment vertical="center"/>
    </xf>
    <xf numFmtId="3" fontId="0" fillId="0" borderId="210" xfId="0" applyNumberFormat="1" applyBorder="1" applyAlignment="1">
      <alignment vertical="center"/>
    </xf>
    <xf numFmtId="187" fontId="0" fillId="0" borderId="210" xfId="0" applyNumberFormat="1" applyBorder="1" applyAlignment="1">
      <alignment vertical="center"/>
    </xf>
    <xf numFmtId="187" fontId="0" fillId="0" borderId="133" xfId="0" applyNumberFormat="1" applyBorder="1" applyAlignment="1">
      <alignment vertical="center"/>
    </xf>
    <xf numFmtId="188" fontId="0" fillId="0" borderId="210" xfId="0" applyNumberFormat="1" applyBorder="1" applyAlignment="1">
      <alignment vertical="center"/>
    </xf>
    <xf numFmtId="3" fontId="0" fillId="0" borderId="3" xfId="0" applyNumberFormat="1" applyBorder="1" applyAlignment="1">
      <alignment vertical="center"/>
    </xf>
    <xf numFmtId="187" fontId="0" fillId="0" borderId="227" xfId="0" applyNumberFormat="1" applyBorder="1" applyAlignment="1">
      <alignment vertical="center"/>
    </xf>
    <xf numFmtId="187" fontId="0" fillId="0" borderId="139" xfId="0" applyNumberFormat="1" applyBorder="1" applyAlignment="1">
      <alignment vertical="center"/>
    </xf>
    <xf numFmtId="188" fontId="0" fillId="0" borderId="227" xfId="0" applyNumberFormat="1" applyBorder="1" applyAlignment="1">
      <alignment vertical="center"/>
    </xf>
    <xf numFmtId="3" fontId="0" fillId="0" borderId="230" xfId="0" applyNumberFormat="1" applyBorder="1" applyAlignment="1">
      <alignment vertical="center"/>
    </xf>
    <xf numFmtId="187" fontId="0" fillId="0" borderId="231" xfId="0" applyNumberFormat="1" applyBorder="1" applyAlignment="1">
      <alignment vertical="center"/>
    </xf>
    <xf numFmtId="187" fontId="0" fillId="0" borderId="232" xfId="0" applyNumberFormat="1" applyBorder="1" applyAlignment="1">
      <alignment vertical="center"/>
    </xf>
    <xf numFmtId="188" fontId="0" fillId="0" borderId="231" xfId="0" applyNumberFormat="1" applyBorder="1" applyAlignment="1">
      <alignment vertical="center"/>
    </xf>
    <xf numFmtId="3" fontId="17" fillId="0" borderId="74" xfId="22" applyNumberFormat="1" applyFont="1" applyFill="1" applyBorder="1" applyAlignment="1" applyProtection="1">
      <alignment vertical="center"/>
      <protection/>
    </xf>
    <xf numFmtId="2" fontId="0" fillId="6" borderId="66" xfId="22" applyNumberFormat="1" applyFont="1" applyFill="1" applyBorder="1" applyAlignment="1" applyProtection="1">
      <alignment vertical="center"/>
      <protection locked="0"/>
    </xf>
    <xf numFmtId="2" fontId="0" fillId="6" borderId="63" xfId="22" applyNumberFormat="1" applyFont="1" applyFill="1" applyBorder="1" applyAlignment="1" applyProtection="1">
      <alignment horizontal="right" vertical="center"/>
      <protection locked="0"/>
    </xf>
    <xf numFmtId="2" fontId="0" fillId="6" borderId="75" xfId="22" applyNumberFormat="1" applyFont="1" applyFill="1" applyBorder="1" applyAlignment="1" applyProtection="1">
      <alignment vertical="center"/>
      <protection locked="0"/>
    </xf>
    <xf numFmtId="2" fontId="0" fillId="6" borderId="65" xfId="22" applyNumberFormat="1" applyFont="1" applyFill="1" applyBorder="1" applyProtection="1">
      <alignment/>
      <protection locked="0"/>
    </xf>
    <xf numFmtId="2" fontId="0" fillId="6" borderId="76" xfId="22" applyNumberFormat="1" applyFont="1" applyFill="1" applyBorder="1" applyProtection="1">
      <alignment/>
      <protection locked="0"/>
    </xf>
    <xf numFmtId="2" fontId="17" fillId="8" borderId="77" xfId="22" applyNumberFormat="1" applyFont="1" applyFill="1" applyBorder="1" applyAlignment="1" applyProtection="1">
      <alignment horizontal="right" vertical="center"/>
      <protection locked="0"/>
    </xf>
    <xf numFmtId="173" fontId="0" fillId="6" borderId="75" xfId="22" applyNumberFormat="1" applyFont="1" applyFill="1" applyBorder="1" applyAlignment="1" applyProtection="1">
      <alignment vertical="center"/>
      <protection locked="0"/>
    </xf>
    <xf numFmtId="0" fontId="0" fillId="6" borderId="75" xfId="22" applyFont="1" applyFill="1" applyBorder="1" applyProtection="1">
      <alignment/>
      <protection locked="0"/>
    </xf>
    <xf numFmtId="173" fontId="0" fillId="8" borderId="77" xfId="22" applyNumberFormat="1" applyFont="1" applyFill="1" applyBorder="1" applyAlignment="1" applyProtection="1">
      <alignment vertical="center"/>
      <protection locked="0"/>
    </xf>
    <xf numFmtId="0" fontId="0" fillId="0" borderId="78" xfId="22" applyFont="1" applyFill="1" applyBorder="1" applyAlignment="1" applyProtection="1">
      <alignment/>
      <protection/>
    </xf>
    <xf numFmtId="173" fontId="0" fillId="2" borderId="79" xfId="22" applyNumberFormat="1" applyFont="1" applyFill="1" applyBorder="1" applyAlignment="1" applyProtection="1">
      <alignment horizontal="right" vertical="center"/>
      <protection/>
    </xf>
    <xf numFmtId="173" fontId="0" fillId="2" borderId="80" xfId="22" applyNumberFormat="1" applyFont="1" applyFill="1" applyBorder="1" applyAlignment="1" applyProtection="1">
      <alignment horizontal="right" vertical="center"/>
      <protection/>
    </xf>
    <xf numFmtId="2" fontId="0" fillId="2" borderId="37" xfId="22" applyNumberFormat="1" applyFont="1" applyFill="1" applyBorder="1" applyAlignment="1" applyProtection="1">
      <alignment horizontal="right" vertical="center"/>
      <protection/>
    </xf>
    <xf numFmtId="2" fontId="0" fillId="2" borderId="81" xfId="22" applyNumberFormat="1" applyFont="1" applyFill="1" applyBorder="1" applyAlignment="1" applyProtection="1">
      <alignment horizontal="right" vertical="center"/>
      <protection/>
    </xf>
    <xf numFmtId="2" fontId="0" fillId="2" borderId="82" xfId="22" applyNumberFormat="1" applyFont="1" applyFill="1" applyBorder="1" applyAlignment="1" applyProtection="1">
      <alignment horizontal="right" vertical="center"/>
      <protection/>
    </xf>
    <xf numFmtId="2" fontId="0" fillId="6" borderId="20" xfId="22" applyNumberFormat="1" applyFont="1" applyFill="1" applyBorder="1" applyAlignment="1" applyProtection="1">
      <alignment vertical="center"/>
      <protection locked="0"/>
    </xf>
    <xf numFmtId="2" fontId="0" fillId="6" borderId="69" xfId="22" applyNumberFormat="1" applyFont="1" applyFill="1" applyBorder="1" applyAlignment="1" applyProtection="1">
      <alignment horizontal="right" vertical="center"/>
      <protection locked="0"/>
    </xf>
    <xf numFmtId="2" fontId="0" fillId="6" borderId="68" xfId="22" applyNumberFormat="1" applyFont="1" applyFill="1" applyBorder="1" applyAlignment="1" applyProtection="1">
      <alignment horizontal="right" vertical="center"/>
      <protection locked="0"/>
    </xf>
    <xf numFmtId="2" fontId="0" fillId="6" borderId="40" xfId="22" applyNumberFormat="1" applyFont="1" applyFill="1" applyBorder="1" applyAlignment="1" applyProtection="1">
      <alignment vertical="center"/>
      <protection locked="0"/>
    </xf>
    <xf numFmtId="2" fontId="0" fillId="6" borderId="41" xfId="22" applyNumberFormat="1" applyFont="1" applyFill="1" applyBorder="1" applyAlignment="1" applyProtection="1">
      <alignment vertical="center"/>
      <protection locked="0"/>
    </xf>
    <xf numFmtId="2" fontId="17" fillId="8" borderId="28" xfId="22" applyNumberFormat="1" applyFont="1" applyFill="1" applyBorder="1" applyAlignment="1" applyProtection="1">
      <alignment horizontal="right" vertical="center"/>
      <protection locked="0"/>
    </xf>
    <xf numFmtId="173" fontId="0" fillId="6" borderId="40" xfId="22" applyNumberFormat="1" applyFont="1" applyFill="1" applyBorder="1" applyAlignment="1" applyProtection="1">
      <alignment vertical="center"/>
      <protection locked="0"/>
    </xf>
    <xf numFmtId="173" fontId="0" fillId="8" borderId="28" xfId="22" applyNumberFormat="1" applyFont="1" applyFill="1" applyBorder="1" applyAlignment="1" applyProtection="1">
      <alignment vertical="center"/>
      <protection locked="0"/>
    </xf>
    <xf numFmtId="2" fontId="0" fillId="6" borderId="67" xfId="22" applyNumberFormat="1" applyFont="1" applyFill="1" applyBorder="1" applyAlignment="1" applyProtection="1">
      <alignment/>
      <protection locked="0"/>
    </xf>
    <xf numFmtId="173" fontId="0" fillId="6" borderId="69" xfId="22" applyNumberFormat="1" applyFont="1" applyFill="1" applyBorder="1" applyAlignment="1" applyProtection="1">
      <alignment vertical="center"/>
      <protection locked="0"/>
    </xf>
    <xf numFmtId="173" fontId="17" fillId="8" borderId="28" xfId="22" applyNumberFormat="1" applyFont="1" applyFill="1" applyBorder="1" applyAlignment="1" applyProtection="1">
      <alignment vertical="center"/>
      <protection locked="0"/>
    </xf>
    <xf numFmtId="173" fontId="0" fillId="6" borderId="41" xfId="22" applyNumberFormat="1" applyFont="1" applyFill="1" applyBorder="1" applyAlignment="1" applyProtection="1">
      <alignment vertical="center"/>
      <protection locked="0"/>
    </xf>
    <xf numFmtId="3" fontId="17" fillId="8" borderId="28" xfId="22" applyNumberFormat="1" applyFont="1" applyFill="1" applyBorder="1" applyAlignment="1" applyProtection="1">
      <alignment vertical="center"/>
      <protection locked="0"/>
    </xf>
    <xf numFmtId="2" fontId="0" fillId="6" borderId="20" xfId="22" applyNumberFormat="1" applyFont="1" applyFill="1" applyBorder="1" applyAlignment="1" applyProtection="1">
      <alignment horizontal="right" vertical="center"/>
      <protection locked="0"/>
    </xf>
    <xf numFmtId="3" fontId="17" fillId="8" borderId="28" xfId="22" applyNumberFormat="1" applyFont="1" applyFill="1" applyBorder="1" applyAlignment="1" applyProtection="1">
      <alignment horizontal="right" vertical="center"/>
      <protection locked="0"/>
    </xf>
    <xf numFmtId="3" fontId="10" fillId="6" borderId="20" xfId="22" applyNumberFormat="1" applyFont="1" applyFill="1" applyBorder="1" applyAlignment="1" applyProtection="1">
      <alignment vertical="center"/>
      <protection locked="0"/>
    </xf>
    <xf numFmtId="173" fontId="0" fillId="6" borderId="28" xfId="22" applyNumberFormat="1" applyFont="1" applyFill="1" applyBorder="1" applyAlignment="1" applyProtection="1">
      <alignment vertical="center"/>
      <protection locked="0"/>
    </xf>
    <xf numFmtId="2" fontId="34" fillId="6" borderId="20" xfId="22" applyNumberFormat="1" applyFont="1" applyFill="1" applyBorder="1" applyAlignment="1" applyProtection="1">
      <alignment vertical="center"/>
      <protection locked="0"/>
    </xf>
    <xf numFmtId="1" fontId="0" fillId="6" borderId="69" xfId="22" applyNumberFormat="1" applyFont="1" applyFill="1" applyBorder="1" applyAlignment="1" applyProtection="1">
      <alignment horizontal="right" vertical="center"/>
      <protection locked="0"/>
    </xf>
    <xf numFmtId="192" fontId="17" fillId="8" borderId="28" xfId="22" applyNumberFormat="1" applyFont="1" applyFill="1" applyBorder="1" applyAlignment="1" applyProtection="1">
      <alignment horizontal="right" vertical="center"/>
      <protection locked="0"/>
    </xf>
    <xf numFmtId="2" fontId="0" fillId="6" borderId="7" xfId="22" applyNumberFormat="1" applyFont="1" applyFill="1" applyBorder="1" applyAlignment="1" applyProtection="1">
      <alignment vertical="center"/>
      <protection locked="0"/>
    </xf>
    <xf numFmtId="2" fontId="0" fillId="6" borderId="4" xfId="22" applyNumberFormat="1" applyFont="1" applyFill="1" applyBorder="1" applyAlignment="1" applyProtection="1">
      <alignment vertical="center"/>
      <protection locked="0"/>
    </xf>
    <xf numFmtId="2" fontId="0" fillId="6" borderId="8" xfId="22" applyNumberFormat="1" applyFont="1" applyFill="1" applyBorder="1" applyAlignment="1" applyProtection="1">
      <alignment vertical="center"/>
      <protection locked="0"/>
    </xf>
    <xf numFmtId="173" fontId="0" fillId="6" borderId="7" xfId="22" applyNumberFormat="1" applyFont="1" applyFill="1" applyBorder="1" applyAlignment="1" applyProtection="1">
      <alignment vertical="center"/>
      <protection locked="0"/>
    </xf>
    <xf numFmtId="173" fontId="0" fillId="6" borderId="4" xfId="22" applyNumberFormat="1" applyFont="1" applyFill="1" applyBorder="1" applyAlignment="1" applyProtection="1">
      <alignment vertical="center"/>
      <protection locked="0"/>
    </xf>
    <xf numFmtId="173" fontId="0" fillId="6" borderId="11" xfId="22" applyNumberFormat="1" applyFont="1" applyFill="1" applyBorder="1" applyAlignment="1" applyProtection="1">
      <alignment vertical="center"/>
      <protection locked="0"/>
    </xf>
    <xf numFmtId="2" fontId="0" fillId="6" borderId="38" xfId="22" applyNumberFormat="1" applyFont="1" applyFill="1" applyBorder="1" applyAlignment="1" applyProtection="1">
      <alignment horizontal="right" vertical="center"/>
      <protection locked="0"/>
    </xf>
    <xf numFmtId="2" fontId="0" fillId="6" borderId="39" xfId="22" applyNumberFormat="1" applyFont="1" applyFill="1" applyBorder="1" applyAlignment="1" applyProtection="1">
      <alignment horizontal="right" vertical="center"/>
      <protection locked="0"/>
    </xf>
    <xf numFmtId="2" fontId="0" fillId="6" borderId="35" xfId="22" applyNumberFormat="1" applyFont="1" applyFill="1" applyBorder="1" applyAlignment="1" applyProtection="1">
      <alignment horizontal="right" vertical="center"/>
      <protection locked="0"/>
    </xf>
    <xf numFmtId="173" fontId="0" fillId="6" borderId="20" xfId="22" applyNumberFormat="1" applyFont="1" applyFill="1" applyBorder="1" applyAlignment="1" applyProtection="1">
      <alignment vertical="center"/>
      <protection locked="0"/>
    </xf>
    <xf numFmtId="173" fontId="0" fillId="2" borderId="37" xfId="22" applyNumberFormat="1" applyFont="1" applyFill="1" applyBorder="1" applyAlignment="1" applyProtection="1">
      <alignment horizontal="right" vertical="center"/>
      <protection/>
    </xf>
    <xf numFmtId="173" fontId="0" fillId="6" borderId="20" xfId="22" applyNumberFormat="1" applyFont="1" applyFill="1" applyBorder="1" applyAlignment="1" applyProtection="1">
      <alignment horizontal="right" vertical="center"/>
      <protection locked="0"/>
    </xf>
    <xf numFmtId="173" fontId="0" fillId="2" borderId="81" xfId="22" applyNumberFormat="1" applyFont="1" applyFill="1" applyBorder="1" applyAlignment="1" applyProtection="1">
      <alignment horizontal="right" vertical="center"/>
      <protection/>
    </xf>
    <xf numFmtId="173" fontId="0" fillId="6" borderId="69" xfId="22" applyNumberFormat="1" applyFont="1" applyFill="1" applyBorder="1" applyAlignment="1" applyProtection="1">
      <alignment horizontal="right" vertical="center"/>
      <protection locked="0"/>
    </xf>
    <xf numFmtId="173" fontId="0" fillId="6" borderId="35" xfId="22" applyNumberFormat="1" applyFont="1" applyFill="1" applyBorder="1" applyAlignment="1" applyProtection="1">
      <alignment horizontal="right" vertical="center"/>
      <protection locked="0"/>
    </xf>
    <xf numFmtId="2" fontId="0" fillId="8" borderId="19" xfId="22" applyNumberFormat="1" applyFont="1" applyFill="1" applyBorder="1" applyAlignment="1" applyProtection="1">
      <alignment vertical="center"/>
      <protection locked="0"/>
    </xf>
    <xf numFmtId="173" fontId="0" fillId="2" borderId="82" xfId="22" applyNumberFormat="1" applyFont="1" applyFill="1" applyBorder="1" applyAlignment="1" applyProtection="1">
      <alignment horizontal="right" vertical="center"/>
      <protection/>
    </xf>
    <xf numFmtId="2" fontId="0" fillId="6" borderId="67" xfId="22" applyNumberFormat="1" applyFont="1" applyFill="1" applyBorder="1" applyAlignment="1" applyProtection="1">
      <alignment vertical="center"/>
      <protection locked="0"/>
    </xf>
    <xf numFmtId="193" fontId="0" fillId="6" borderId="20" xfId="22" applyNumberFormat="1" applyFont="1" applyFill="1" applyBorder="1" applyAlignment="1" applyProtection="1">
      <alignment vertical="center"/>
      <protection locked="0"/>
    </xf>
    <xf numFmtId="173" fontId="0" fillId="2" borderId="83" xfId="22" applyNumberFormat="1" applyFont="1" applyFill="1" applyBorder="1" applyAlignment="1" applyProtection="1">
      <alignment horizontal="right" vertical="center"/>
      <protection/>
    </xf>
    <xf numFmtId="173" fontId="0" fillId="2" borderId="84" xfId="22" applyNumberFormat="1" applyFont="1" applyFill="1" applyBorder="1" applyAlignment="1" applyProtection="1">
      <alignment horizontal="right" vertical="center"/>
      <protection/>
    </xf>
    <xf numFmtId="3" fontId="17" fillId="0" borderId="73" xfId="22" applyNumberFormat="1" applyFont="1" applyFill="1" applyBorder="1" applyAlignment="1" applyProtection="1">
      <alignment vertical="center"/>
      <protection/>
    </xf>
    <xf numFmtId="173" fontId="0" fillId="2" borderId="85" xfId="22" applyNumberFormat="1" applyFont="1" applyFill="1" applyBorder="1" applyAlignment="1" applyProtection="1">
      <alignment horizontal="right" vertical="center"/>
      <protection/>
    </xf>
    <xf numFmtId="173" fontId="0" fillId="2" borderId="233" xfId="22" applyNumberFormat="1" applyFont="1" applyFill="1" applyBorder="1" applyAlignment="1" applyProtection="1">
      <alignment horizontal="right" vertical="center"/>
      <protection/>
    </xf>
    <xf numFmtId="3" fontId="0" fillId="8" borderId="91" xfId="22" applyNumberFormat="1" applyFont="1" applyFill="1" applyBorder="1" applyAlignment="1" applyProtection="1">
      <alignment vertical="center"/>
      <protection locked="0"/>
    </xf>
    <xf numFmtId="3" fontId="0" fillId="6" borderId="88" xfId="22" applyNumberFormat="1" applyFont="1" applyFill="1" applyBorder="1" applyAlignment="1" applyProtection="1">
      <alignment vertical="center"/>
      <protection locked="0"/>
    </xf>
    <xf numFmtId="173" fontId="0" fillId="2" borderId="90" xfId="22" applyNumberFormat="1" applyFont="1" applyFill="1" applyBorder="1" applyAlignment="1" applyProtection="1">
      <alignment horizontal="right" vertical="center"/>
      <protection/>
    </xf>
    <xf numFmtId="3" fontId="0" fillId="0" borderId="76" xfId="22" applyNumberFormat="1" applyFont="1" applyFill="1" applyBorder="1" applyAlignment="1" applyProtection="1">
      <alignment vertical="center"/>
      <protection/>
    </xf>
    <xf numFmtId="3" fontId="34" fillId="6" borderId="92" xfId="22" applyNumberFormat="1" applyFont="1" applyFill="1" applyBorder="1" applyAlignment="1" applyProtection="1">
      <alignment vertical="center"/>
      <protection locked="0"/>
    </xf>
    <xf numFmtId="3" fontId="34" fillId="6" borderId="20" xfId="22" applyNumberFormat="1"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xf>
    <xf numFmtId="0" fontId="33" fillId="2" borderId="30" xfId="22" applyFont="1" applyFill="1" applyBorder="1" applyAlignment="1" applyProtection="1">
      <alignment horizontal="center" vertical="center" wrapText="1"/>
      <protection/>
    </xf>
    <xf numFmtId="49" fontId="0" fillId="0" borderId="0" xfId="0" applyNumberFormat="1" applyAlignment="1">
      <alignment/>
    </xf>
    <xf numFmtId="1" fontId="13" fillId="0" borderId="3" xfId="0" applyNumberFormat="1" applyFont="1" applyBorder="1" applyAlignment="1" applyProtection="1">
      <alignment horizontal="center" vertical="center"/>
      <protection/>
    </xf>
    <xf numFmtId="49" fontId="5" fillId="0" borderId="0" xfId="22" applyNumberFormat="1" applyFont="1" applyBorder="1" applyAlignment="1" applyProtection="1">
      <alignment horizontal="center" vertical="center"/>
      <protection locked="0"/>
    </xf>
    <xf numFmtId="0" fontId="4" fillId="0" borderId="0" xfId="22" applyFont="1" applyBorder="1" applyAlignment="1" applyProtection="1">
      <alignment/>
      <protection locked="0"/>
    </xf>
    <xf numFmtId="0" fontId="0" fillId="0" borderId="0" xfId="22" applyFont="1" applyFill="1" applyBorder="1" applyAlignment="1" applyProtection="1">
      <alignment horizontal="center" vertical="center"/>
      <protection/>
    </xf>
    <xf numFmtId="3" fontId="20" fillId="0" borderId="0" xfId="22" applyNumberFormat="1" applyFont="1" applyBorder="1" applyAlignment="1" applyProtection="1">
      <alignment horizontal="center" vertical="center"/>
      <protection locked="0"/>
    </xf>
    <xf numFmtId="9" fontId="20" fillId="0" borderId="0" xfId="22" applyNumberFormat="1" applyFont="1" applyBorder="1" applyAlignment="1" applyProtection="1">
      <alignment horizontal="center" vertical="center"/>
      <protection locked="0"/>
    </xf>
    <xf numFmtId="0" fontId="0" fillId="0" borderId="0" xfId="0" applyFont="1" applyFill="1" applyBorder="1" applyAlignment="1" applyProtection="1">
      <alignment/>
      <protection/>
    </xf>
    <xf numFmtId="0" fontId="0" fillId="0" borderId="0" xfId="22" applyFont="1" applyFill="1" applyBorder="1" applyAlignment="1" applyProtection="1">
      <alignment horizontal="center"/>
      <protection/>
    </xf>
    <xf numFmtId="0" fontId="0" fillId="0" borderId="0" xfId="22"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ill="1" applyBorder="1" applyAlignment="1" applyProtection="1">
      <alignment horizontal="center"/>
      <protection/>
    </xf>
    <xf numFmtId="0" fontId="17" fillId="0" borderId="0" xfId="22" applyFont="1" applyFill="1" applyBorder="1" applyAlignment="1" applyProtection="1">
      <alignment horizontal="center" vertical="center"/>
      <protection/>
    </xf>
    <xf numFmtId="0" fontId="0" fillId="0" borderId="0" xfId="0" applyBorder="1" applyAlignment="1">
      <alignment/>
    </xf>
    <xf numFmtId="0" fontId="14" fillId="0" borderId="0" xfId="22" applyFont="1" applyBorder="1" applyAlignment="1" applyProtection="1">
      <alignment/>
      <protection locked="0"/>
    </xf>
    <xf numFmtId="0" fontId="16" fillId="0" borderId="0" xfId="22" applyFont="1" applyBorder="1" applyAlignment="1" applyProtection="1">
      <alignment/>
      <protection locked="0"/>
    </xf>
    <xf numFmtId="3" fontId="0" fillId="0" borderId="0" xfId="0" applyNumberFormat="1" applyBorder="1" applyAlignment="1">
      <alignment/>
    </xf>
    <xf numFmtId="3" fontId="4" fillId="0" borderId="0" xfId="22" applyNumberFormat="1" applyFont="1" applyBorder="1" applyAlignment="1" applyProtection="1">
      <alignment/>
      <protection locked="0"/>
    </xf>
    <xf numFmtId="0" fontId="16" fillId="0" borderId="0" xfId="22" applyFont="1" applyBorder="1" applyAlignment="1" applyProtection="1">
      <alignment horizontal="left" vertical="top"/>
      <protection locked="0"/>
    </xf>
    <xf numFmtId="0" fontId="0" fillId="0" borderId="0" xfId="0" applyFill="1" applyBorder="1" applyAlignment="1" applyProtection="1">
      <alignment horizontal="center" vertical="center"/>
      <protection/>
    </xf>
    <xf numFmtId="2" fontId="4" fillId="0" borderId="0" xfId="22" applyNumberFormat="1" applyFont="1" applyBorder="1" applyAlignment="1" applyProtection="1">
      <alignment/>
      <protection locked="0"/>
    </xf>
    <xf numFmtId="0" fontId="0" fillId="0" borderId="0" xfId="22" applyFont="1" applyBorder="1" applyAlignment="1" applyProtection="1">
      <alignment vertical="top"/>
      <protection/>
    </xf>
    <xf numFmtId="3" fontId="34" fillId="8" borderId="71" xfId="22" applyNumberFormat="1" applyFont="1" applyFill="1" applyBorder="1" applyAlignment="1" applyProtection="1">
      <alignment horizontal="right" vertical="center"/>
      <protection locked="0"/>
    </xf>
    <xf numFmtId="0" fontId="63" fillId="18" borderId="30" xfId="22" applyFont="1" applyFill="1" applyBorder="1" applyAlignment="1" applyProtection="1">
      <alignment horizontal="center" vertical="center" wrapText="1"/>
      <protection/>
    </xf>
    <xf numFmtId="0" fontId="5" fillId="0" borderId="234" xfId="0" applyFont="1" applyBorder="1" applyAlignment="1">
      <alignment horizontal="left" vertical="center" wrapText="1"/>
    </xf>
    <xf numFmtId="187" fontId="25" fillId="0" borderId="235" xfId="0" applyNumberFormat="1" applyFont="1" applyFill="1" applyBorder="1" applyAlignment="1">
      <alignment horizontal="right" vertical="center"/>
    </xf>
    <xf numFmtId="188" fontId="5" fillId="0" borderId="119" xfId="0" applyNumberFormat="1" applyFont="1" applyBorder="1" applyAlignment="1">
      <alignment horizontal="right" vertical="center"/>
    </xf>
    <xf numFmtId="188" fontId="5" fillId="0" borderId="120" xfId="0" applyNumberFormat="1" applyFont="1" applyBorder="1" applyAlignment="1">
      <alignment horizontal="right" vertical="center"/>
    </xf>
    <xf numFmtId="188" fontId="5" fillId="0" borderId="121" xfId="0" applyNumberFormat="1" applyFont="1" applyBorder="1" applyAlignment="1">
      <alignment horizontal="right" vertical="center"/>
    </xf>
    <xf numFmtId="187" fontId="25" fillId="0" borderId="0" xfId="0" applyNumberFormat="1" applyFont="1" applyFill="1" applyBorder="1" applyAlignment="1">
      <alignment horizontal="right" vertical="center"/>
    </xf>
    <xf numFmtId="0" fontId="5" fillId="0" borderId="236" xfId="0" applyFont="1" applyBorder="1" applyAlignment="1">
      <alignment horizontal="center" vertical="center" wrapText="1"/>
    </xf>
    <xf numFmtId="187" fontId="25" fillId="0" borderId="21" xfId="0" applyNumberFormat="1" applyFont="1" applyBorder="1" applyAlignment="1">
      <alignment vertical="center" wrapText="1"/>
    </xf>
    <xf numFmtId="187" fontId="5" fillId="0" borderId="234" xfId="0" applyNumberFormat="1" applyFont="1" applyBorder="1" applyAlignment="1">
      <alignment horizontal="right" vertical="center"/>
    </xf>
    <xf numFmtId="187" fontId="5" fillId="0" borderId="237" xfId="0" applyNumberFormat="1" applyFont="1" applyBorder="1" applyAlignment="1">
      <alignment horizontal="right" vertical="center"/>
    </xf>
    <xf numFmtId="0" fontId="23" fillId="0" borderId="0" xfId="0" applyFont="1" applyAlignment="1">
      <alignment horizontal="center"/>
    </xf>
    <xf numFmtId="175" fontId="22" fillId="5" borderId="92" xfId="0" applyNumberFormat="1" applyFont="1" applyFill="1" applyBorder="1" applyAlignment="1">
      <alignment horizontal="right"/>
    </xf>
    <xf numFmtId="175" fontId="22" fillId="5" borderId="135" xfId="0" applyNumberFormat="1" applyFont="1" applyFill="1" applyBorder="1" applyAlignment="1">
      <alignment horizontal="right"/>
    </xf>
    <xf numFmtId="3" fontId="22" fillId="14" borderId="238" xfId="0" applyNumberFormat="1" applyFont="1" applyFill="1" applyBorder="1" applyAlignment="1">
      <alignment horizontal="right"/>
    </xf>
    <xf numFmtId="175" fontId="22" fillId="5" borderId="239" xfId="0" applyNumberFormat="1" applyFont="1" applyFill="1" applyBorder="1" applyAlignment="1">
      <alignment horizontal="right"/>
    </xf>
    <xf numFmtId="175" fontId="22" fillId="5" borderId="240" xfId="0" applyNumberFormat="1" applyFont="1" applyFill="1" applyBorder="1" applyAlignment="1">
      <alignment horizontal="right"/>
    </xf>
    <xf numFmtId="0" fontId="18" fillId="0" borderId="55" xfId="0" applyFont="1" applyBorder="1" applyAlignment="1">
      <alignment/>
    </xf>
    <xf numFmtId="3" fontId="22" fillId="14" borderId="58" xfId="0" applyNumberFormat="1" applyFont="1" applyFill="1" applyBorder="1" applyAlignment="1">
      <alignment horizontal="right"/>
    </xf>
    <xf numFmtId="175" fontId="22" fillId="5" borderId="58" xfId="0" applyNumberFormat="1" applyFont="1" applyFill="1" applyBorder="1" applyAlignment="1">
      <alignment horizontal="right"/>
    </xf>
    <xf numFmtId="175" fontId="22" fillId="5" borderId="142" xfId="0" applyNumberFormat="1" applyFont="1" applyFill="1" applyBorder="1" applyAlignment="1">
      <alignment horizontal="right"/>
    </xf>
    <xf numFmtId="3" fontId="22" fillId="14" borderId="55" xfId="0" applyNumberFormat="1" applyFont="1" applyFill="1" applyBorder="1" applyAlignment="1">
      <alignment horizontal="right"/>
    </xf>
    <xf numFmtId="3" fontId="0" fillId="17" borderId="36" xfId="22" applyNumberFormat="1" applyFont="1" applyFill="1" applyBorder="1" applyAlignment="1" applyProtection="1">
      <alignment vertical="center"/>
      <protection/>
    </xf>
    <xf numFmtId="3" fontId="0" fillId="17" borderId="33" xfId="0" applyNumberFormat="1" applyFill="1" applyBorder="1" applyAlignment="1">
      <alignment horizontal="right" vertical="center"/>
    </xf>
    <xf numFmtId="183" fontId="0" fillId="0" borderId="12" xfId="0" applyNumberFormat="1" applyBorder="1" applyAlignment="1">
      <alignment/>
    </xf>
    <xf numFmtId="184" fontId="0" fillId="0" borderId="0" xfId="0" applyNumberFormat="1" applyFont="1" applyBorder="1" applyAlignment="1">
      <alignment horizontal="right"/>
    </xf>
    <xf numFmtId="1" fontId="0" fillId="0" borderId="0" xfId="0" applyNumberFormat="1" applyBorder="1" applyAlignment="1">
      <alignment/>
    </xf>
    <xf numFmtId="3" fontId="17" fillId="0" borderId="0" xfId="0" applyNumberFormat="1" applyFont="1" applyBorder="1" applyAlignment="1">
      <alignment vertical="top" wrapText="1"/>
    </xf>
    <xf numFmtId="9" fontId="17" fillId="0" borderId="0" xfId="0" applyNumberFormat="1" applyFont="1" applyBorder="1" applyAlignment="1">
      <alignment vertical="top" wrapText="1"/>
    </xf>
    <xf numFmtId="3" fontId="17" fillId="0" borderId="5" xfId="0" applyNumberFormat="1" applyFont="1" applyBorder="1" applyAlignment="1">
      <alignment horizontal="center" vertical="center" wrapText="1"/>
    </xf>
    <xf numFmtId="183" fontId="0" fillId="0" borderId="210" xfId="0" applyNumberFormat="1" applyBorder="1" applyAlignment="1">
      <alignment/>
    </xf>
    <xf numFmtId="183" fontId="0" fillId="0" borderId="211" xfId="0" applyNumberFormat="1" applyBorder="1" applyAlignment="1">
      <alignment/>
    </xf>
    <xf numFmtId="183" fontId="0" fillId="0" borderId="212" xfId="0" applyNumberFormat="1" applyBorder="1" applyAlignment="1">
      <alignment/>
    </xf>
    <xf numFmtId="0" fontId="34" fillId="2" borderId="14" xfId="22" applyFont="1" applyFill="1" applyBorder="1" applyAlignment="1" applyProtection="1">
      <alignment horizontal="center" vertical="center" wrapText="1"/>
      <protection/>
    </xf>
    <xf numFmtId="198" fontId="0" fillId="8" borderId="13" xfId="22" applyNumberFormat="1" applyFont="1" applyFill="1" applyBorder="1" applyAlignment="1" applyProtection="1">
      <alignment vertical="center"/>
      <protection locked="0"/>
    </xf>
    <xf numFmtId="198" fontId="0" fillId="8" borderId="62" xfId="22" applyNumberFormat="1" applyFont="1" applyFill="1" applyBorder="1" applyAlignment="1" applyProtection="1">
      <alignment vertical="center"/>
      <protection locked="0"/>
    </xf>
    <xf numFmtId="198" fontId="0" fillId="8" borderId="63" xfId="22" applyNumberFormat="1" applyFont="1" applyFill="1" applyBorder="1" applyAlignment="1" applyProtection="1">
      <alignment vertical="center"/>
      <protection locked="0"/>
    </xf>
    <xf numFmtId="198" fontId="0" fillId="0" borderId="74" xfId="22" applyNumberFormat="1" applyFont="1" applyFill="1" applyBorder="1" applyAlignment="1" applyProtection="1">
      <alignment vertical="center"/>
      <protection/>
    </xf>
    <xf numFmtId="198" fontId="0" fillId="6" borderId="64" xfId="22" applyNumberFormat="1" applyFont="1" applyFill="1" applyBorder="1" applyAlignment="1" applyProtection="1">
      <alignment vertical="center"/>
      <protection locked="0"/>
    </xf>
    <xf numFmtId="198" fontId="0" fillId="6" borderId="65" xfId="22" applyNumberFormat="1" applyFont="1" applyFill="1" applyBorder="1" applyAlignment="1" applyProtection="1">
      <alignment vertical="center"/>
      <protection locked="0"/>
    </xf>
    <xf numFmtId="198" fontId="0" fillId="6" borderId="66" xfId="22" applyNumberFormat="1" applyFont="1" applyFill="1" applyBorder="1" applyAlignment="1" applyProtection="1">
      <alignment vertical="center"/>
      <protection locked="0"/>
    </xf>
    <xf numFmtId="198" fontId="34" fillId="6" borderId="66" xfId="22" applyNumberFormat="1" applyFont="1" applyFill="1" applyBorder="1" applyAlignment="1" applyProtection="1">
      <alignment vertical="center"/>
      <protection locked="0"/>
    </xf>
    <xf numFmtId="198" fontId="34" fillId="6" borderId="63" xfId="22" applyNumberFormat="1" applyFont="1" applyFill="1" applyBorder="1" applyAlignment="1" applyProtection="1">
      <alignment horizontal="right" vertical="center"/>
      <protection locked="0"/>
    </xf>
    <xf numFmtId="198" fontId="0" fillId="6" borderId="75" xfId="22" applyNumberFormat="1" applyFont="1" applyFill="1" applyBorder="1" applyAlignment="1" applyProtection="1">
      <alignment vertical="center"/>
      <protection locked="0"/>
    </xf>
    <xf numFmtId="198" fontId="0" fillId="6" borderId="76" xfId="22" applyNumberFormat="1" applyFont="1" applyFill="1" applyBorder="1" applyAlignment="1" applyProtection="1">
      <alignment vertical="center"/>
      <protection locked="0"/>
    </xf>
    <xf numFmtId="198" fontId="0" fillId="8" borderId="77" xfId="22" applyNumberFormat="1" applyFont="1" applyFill="1" applyBorder="1" applyAlignment="1" applyProtection="1">
      <alignment horizontal="right" vertical="center"/>
      <protection locked="0"/>
    </xf>
    <xf numFmtId="198" fontId="0" fillId="6" borderId="75" xfId="22" applyNumberFormat="1" applyFont="1" applyFill="1" applyBorder="1" applyProtection="1">
      <alignment/>
      <protection locked="0"/>
    </xf>
    <xf numFmtId="198" fontId="0" fillId="8" borderId="77" xfId="22" applyNumberFormat="1" applyFont="1" applyFill="1" applyBorder="1" applyAlignment="1" applyProtection="1">
      <alignment vertical="center"/>
      <protection locked="0"/>
    </xf>
    <xf numFmtId="198" fontId="0" fillId="6" borderId="64" xfId="22" applyNumberFormat="1" applyFont="1" applyFill="1" applyBorder="1" applyAlignment="1" applyProtection="1">
      <alignment vertical="center"/>
      <protection/>
    </xf>
    <xf numFmtId="198" fontId="0" fillId="2" borderId="79" xfId="22" applyNumberFormat="1" applyFont="1" applyFill="1" applyBorder="1" applyAlignment="1" applyProtection="1">
      <alignment horizontal="right" vertical="center"/>
      <protection/>
    </xf>
    <xf numFmtId="198" fontId="0" fillId="2" borderId="37" xfId="22" applyNumberFormat="1" applyFont="1" applyFill="1" applyBorder="1" applyAlignment="1" applyProtection="1">
      <alignment horizontal="right" vertical="center"/>
      <protection/>
    </xf>
    <xf numFmtId="198" fontId="0" fillId="2" borderId="81" xfId="22" applyNumberFormat="1" applyFont="1" applyFill="1" applyBorder="1" applyAlignment="1" applyProtection="1">
      <alignment horizontal="right" vertical="center"/>
      <protection/>
    </xf>
    <xf numFmtId="198" fontId="0" fillId="2" borderId="82" xfId="22" applyNumberFormat="1" applyFont="1" applyFill="1" applyBorder="1" applyAlignment="1" applyProtection="1">
      <alignment horizontal="right" vertical="center"/>
      <protection/>
    </xf>
    <xf numFmtId="198" fontId="0" fillId="6" borderId="20" xfId="22" applyNumberFormat="1" applyFont="1" applyFill="1" applyBorder="1" applyAlignment="1" applyProtection="1">
      <alignment vertical="center"/>
      <protection locked="0"/>
    </xf>
    <xf numFmtId="198" fontId="0" fillId="6" borderId="69" xfId="22" applyNumberFormat="1" applyFont="1" applyFill="1" applyBorder="1" applyAlignment="1" applyProtection="1">
      <alignment horizontal="right" vertical="center"/>
      <protection locked="0"/>
    </xf>
    <xf numFmtId="198" fontId="0" fillId="6" borderId="68" xfId="22" applyNumberFormat="1" applyFont="1" applyFill="1" applyBorder="1" applyAlignment="1" applyProtection="1">
      <alignment horizontal="right" vertical="center"/>
      <protection locked="0"/>
    </xf>
    <xf numFmtId="198" fontId="0" fillId="6" borderId="40" xfId="22" applyNumberFormat="1" applyFont="1" applyFill="1" applyBorder="1" applyAlignment="1" applyProtection="1">
      <alignment vertical="center"/>
      <protection locked="0"/>
    </xf>
    <xf numFmtId="198" fontId="0" fillId="8" borderId="28" xfId="22" applyNumberFormat="1" applyFont="1" applyFill="1" applyBorder="1" applyAlignment="1" applyProtection="1">
      <alignment vertical="center"/>
      <protection locked="0"/>
    </xf>
    <xf numFmtId="0" fontId="0" fillId="6" borderId="67" xfId="22" applyFont="1" applyFill="1" applyBorder="1" applyAlignment="1" applyProtection="1">
      <alignment/>
      <protection locked="0"/>
    </xf>
    <xf numFmtId="198" fontId="0" fillId="6" borderId="41" xfId="22" applyNumberFormat="1" applyFont="1" applyFill="1" applyBorder="1" applyAlignment="1" applyProtection="1">
      <alignment vertical="center"/>
      <protection locked="0"/>
    </xf>
    <xf numFmtId="198" fontId="0" fillId="6" borderId="20" xfId="22" applyNumberFormat="1" applyFont="1" applyFill="1" applyBorder="1" applyAlignment="1" applyProtection="1">
      <alignment horizontal="right" vertical="center"/>
      <protection locked="0"/>
    </xf>
    <xf numFmtId="0" fontId="34" fillId="2" borderId="32" xfId="22" applyFont="1" applyFill="1" applyBorder="1" applyAlignment="1" applyProtection="1">
      <alignment horizontal="center" vertical="center" wrapText="1"/>
      <protection/>
    </xf>
    <xf numFmtId="198" fontId="0" fillId="6" borderId="38" xfId="22" applyNumberFormat="1" applyFont="1" applyFill="1" applyBorder="1" applyAlignment="1" applyProtection="1">
      <alignment horizontal="right" vertical="center"/>
      <protection locked="0"/>
    </xf>
    <xf numFmtId="0" fontId="0" fillId="8" borderId="28" xfId="22" applyFont="1" applyFill="1" applyBorder="1" applyProtection="1">
      <alignment/>
      <protection locked="0"/>
    </xf>
    <xf numFmtId="198" fontId="34" fillId="8" borderId="19" xfId="22" applyNumberFormat="1" applyFont="1" applyFill="1" applyBorder="1" applyAlignment="1" applyProtection="1">
      <alignment horizontal="center" vertical="center"/>
      <protection locked="0"/>
    </xf>
    <xf numFmtId="198" fontId="34" fillId="8" borderId="67" xfId="22" applyNumberFormat="1" applyFont="1" applyFill="1" applyBorder="1" applyAlignment="1" applyProtection="1">
      <alignment horizontal="center" vertical="center"/>
      <protection locked="0"/>
    </xf>
    <xf numFmtId="198" fontId="34" fillId="8" borderId="68" xfId="22" applyNumberFormat="1" applyFont="1" applyFill="1" applyBorder="1" applyAlignment="1" applyProtection="1">
      <alignment horizontal="center" vertical="center"/>
      <protection locked="0"/>
    </xf>
    <xf numFmtId="198" fontId="0" fillId="0" borderId="36" xfId="22" applyNumberFormat="1" applyFont="1" applyFill="1" applyBorder="1" applyAlignment="1" applyProtection="1">
      <alignment vertical="center"/>
      <protection/>
    </xf>
    <xf numFmtId="198" fontId="0" fillId="8" borderId="28" xfId="22" applyNumberFormat="1" applyFont="1" applyFill="1" applyBorder="1" applyAlignment="1" applyProtection="1">
      <alignment horizontal="right" vertical="center"/>
      <protection locked="0"/>
    </xf>
    <xf numFmtId="0" fontId="34" fillId="2" borderId="30" xfId="22" applyFont="1" applyFill="1" applyBorder="1" applyAlignment="1" applyProtection="1">
      <alignment horizontal="center" vertical="center" wrapText="1"/>
      <protection/>
    </xf>
    <xf numFmtId="198" fontId="0" fillId="8" borderId="19" xfId="22" applyNumberFormat="1" applyFont="1" applyFill="1" applyBorder="1" applyAlignment="1" applyProtection="1">
      <alignment vertical="center"/>
      <protection locked="0"/>
    </xf>
    <xf numFmtId="198" fontId="0" fillId="8" borderId="67" xfId="22" applyNumberFormat="1" applyFont="1" applyFill="1" applyBorder="1" applyAlignment="1" applyProtection="1">
      <alignment vertical="center"/>
      <protection locked="0"/>
    </xf>
    <xf numFmtId="198" fontId="0" fillId="8" borderId="68" xfId="22" applyNumberFormat="1" applyFont="1" applyFill="1" applyBorder="1" applyAlignment="1" applyProtection="1">
      <alignment vertical="center"/>
      <protection locked="0"/>
    </xf>
    <xf numFmtId="198" fontId="0" fillId="6" borderId="72" xfId="22" applyNumberFormat="1" applyFont="1" applyFill="1" applyBorder="1" applyAlignment="1" applyProtection="1">
      <alignment horizontal="right" vertical="center"/>
      <protection/>
    </xf>
    <xf numFmtId="198" fontId="0" fillId="6" borderId="40" xfId="22" applyNumberFormat="1" applyFont="1" applyFill="1" applyBorder="1" applyAlignment="1" applyProtection="1">
      <alignment horizontal="right" vertical="center"/>
      <protection locked="0"/>
    </xf>
    <xf numFmtId="198" fontId="34" fillId="6" borderId="69" xfId="22" applyNumberFormat="1" applyFont="1" applyFill="1" applyBorder="1" applyAlignment="1" applyProtection="1">
      <alignment horizontal="right" vertical="center"/>
      <protection locked="0"/>
    </xf>
    <xf numFmtId="198" fontId="34" fillId="6" borderId="68" xfId="22" applyNumberFormat="1" applyFont="1" applyFill="1" applyBorder="1" applyAlignment="1" applyProtection="1">
      <alignment horizontal="right" vertical="center"/>
      <protection locked="0"/>
    </xf>
    <xf numFmtId="198" fontId="0" fillId="8" borderId="70" xfId="22" applyNumberFormat="1" applyFont="1" applyFill="1" applyBorder="1" applyAlignment="1" applyProtection="1">
      <alignment vertical="center"/>
      <protection locked="0"/>
    </xf>
    <xf numFmtId="198" fontId="65" fillId="8" borderId="67" xfId="22" applyNumberFormat="1" applyFont="1" applyFill="1" applyBorder="1" applyAlignment="1" applyProtection="1">
      <alignment vertical="center" wrapText="1"/>
      <protection locked="0"/>
    </xf>
    <xf numFmtId="198" fontId="65" fillId="8" borderId="68" xfId="22" applyNumberFormat="1" applyFont="1" applyFill="1" applyBorder="1" applyAlignment="1" applyProtection="1">
      <alignment vertical="center" wrapText="1"/>
      <protection locked="0"/>
    </xf>
    <xf numFmtId="2" fontId="0" fillId="6" borderId="69" xfId="22" applyNumberFormat="1" applyFont="1" applyFill="1" applyBorder="1" applyAlignment="1" applyProtection="1">
      <alignment vertical="center"/>
      <protection locked="0"/>
    </xf>
    <xf numFmtId="198" fontId="0" fillId="6" borderId="7" xfId="22" applyNumberFormat="1" applyFont="1" applyFill="1" applyBorder="1" applyAlignment="1" applyProtection="1">
      <alignment vertical="center"/>
      <protection locked="0"/>
    </xf>
    <xf numFmtId="198" fontId="0" fillId="6" borderId="4" xfId="22" applyNumberFormat="1" applyFont="1" applyFill="1" applyBorder="1" applyAlignment="1" applyProtection="1">
      <alignment vertical="center"/>
      <protection locked="0"/>
    </xf>
    <xf numFmtId="198" fontId="0" fillId="6" borderId="8" xfId="22" applyNumberFormat="1" applyFont="1" applyFill="1" applyBorder="1" applyAlignment="1" applyProtection="1">
      <alignment vertical="center"/>
      <protection locked="0"/>
    </xf>
    <xf numFmtId="173" fontId="0" fillId="6" borderId="10" xfId="22" applyNumberFormat="1" applyFont="1" applyFill="1" applyBorder="1" applyAlignment="1" applyProtection="1">
      <alignment vertical="center"/>
      <protection locked="0"/>
    </xf>
    <xf numFmtId="173" fontId="0" fillId="8" borderId="9" xfId="22" applyNumberFormat="1" applyFont="1" applyFill="1" applyBorder="1" applyAlignment="1" applyProtection="1">
      <alignment vertical="center"/>
      <protection locked="0"/>
    </xf>
    <xf numFmtId="198" fontId="0" fillId="6" borderId="11" xfId="22" applyNumberFormat="1" applyFont="1" applyFill="1" applyBorder="1" applyAlignment="1" applyProtection="1">
      <alignment vertical="center"/>
      <protection locked="0"/>
    </xf>
    <xf numFmtId="198" fontId="0" fillId="8" borderId="71" xfId="22" applyNumberFormat="1" applyFont="1" applyFill="1" applyBorder="1" applyAlignment="1" applyProtection="1">
      <alignment vertical="center"/>
      <protection locked="0"/>
    </xf>
    <xf numFmtId="198" fontId="0" fillId="8" borderId="34" xfId="22" applyNumberFormat="1" applyFont="1" applyFill="1" applyBorder="1" applyAlignment="1" applyProtection="1">
      <alignment vertical="center"/>
      <protection locked="0"/>
    </xf>
    <xf numFmtId="198" fontId="0" fillId="8" borderId="35" xfId="22" applyNumberFormat="1" applyFont="1" applyFill="1" applyBorder="1" applyAlignment="1" applyProtection="1">
      <alignment vertical="center"/>
      <protection locked="0"/>
    </xf>
    <xf numFmtId="198" fontId="0" fillId="6" borderId="39" xfId="22" applyNumberFormat="1" applyFont="1" applyFill="1" applyBorder="1" applyAlignment="1" applyProtection="1">
      <alignment horizontal="right" vertical="center"/>
      <protection locked="0"/>
    </xf>
    <xf numFmtId="198" fontId="34" fillId="6" borderId="35" xfId="22" applyNumberFormat="1" applyFont="1" applyFill="1" applyBorder="1" applyAlignment="1" applyProtection="1">
      <alignment horizontal="right" vertical="center"/>
      <protection locked="0"/>
    </xf>
    <xf numFmtId="198" fontId="0" fillId="6" borderId="72" xfId="22" applyNumberFormat="1" applyFont="1" applyFill="1" applyBorder="1" applyAlignment="1" applyProtection="1">
      <alignment vertical="center"/>
      <protection locked="0"/>
    </xf>
    <xf numFmtId="198" fontId="0" fillId="2" borderId="83" xfId="22" applyNumberFormat="1" applyFont="1" applyFill="1" applyBorder="1" applyAlignment="1" applyProtection="1">
      <alignment horizontal="right" vertical="center"/>
      <protection/>
    </xf>
    <xf numFmtId="198" fontId="0" fillId="2" borderId="84" xfId="22" applyNumberFormat="1" applyFont="1" applyFill="1" applyBorder="1" applyAlignment="1" applyProtection="1">
      <alignment horizontal="right" vertical="center"/>
      <protection/>
    </xf>
    <xf numFmtId="198" fontId="0" fillId="0" borderId="73" xfId="22" applyNumberFormat="1" applyFont="1" applyFill="1" applyBorder="1" applyAlignment="1" applyProtection="1">
      <alignment vertical="center"/>
      <protection/>
    </xf>
    <xf numFmtId="198" fontId="0" fillId="2" borderId="85" xfId="22" applyNumberFormat="1" applyFont="1" applyFill="1" applyBorder="1" applyAlignment="1" applyProtection="1">
      <alignment horizontal="right" vertical="center"/>
      <protection/>
    </xf>
    <xf numFmtId="198" fontId="0" fillId="6" borderId="86" xfId="22" applyNumberFormat="1" applyFont="1" applyFill="1" applyBorder="1" applyAlignment="1" applyProtection="1">
      <alignment vertical="center"/>
      <protection locked="0"/>
    </xf>
    <xf numFmtId="198" fontId="0" fillId="6" borderId="87" xfId="22" applyNumberFormat="1" applyFont="1" applyFill="1" applyBorder="1" applyAlignment="1" applyProtection="1">
      <alignment vertical="center"/>
      <protection locked="0"/>
    </xf>
    <xf numFmtId="198" fontId="0" fillId="8" borderId="9" xfId="22" applyNumberFormat="1" applyFont="1" applyFill="1" applyBorder="1" applyAlignment="1" applyProtection="1">
      <alignment vertical="center"/>
      <protection locked="0"/>
    </xf>
    <xf numFmtId="0" fontId="0" fillId="6" borderId="88" xfId="22" applyFont="1" applyFill="1" applyBorder="1" applyAlignment="1" applyProtection="1">
      <alignment/>
      <protection locked="0"/>
    </xf>
    <xf numFmtId="2" fontId="0" fillId="6" borderId="89" xfId="22" applyNumberFormat="1" applyFont="1" applyFill="1" applyBorder="1" applyAlignment="1" applyProtection="1">
      <alignment vertical="center"/>
      <protection locked="0"/>
    </xf>
    <xf numFmtId="0" fontId="0" fillId="8" borderId="91" xfId="22" applyFont="1" applyFill="1" applyBorder="1" applyProtection="1">
      <alignment/>
      <protection locked="0"/>
    </xf>
    <xf numFmtId="198" fontId="0" fillId="2" borderId="90" xfId="22" applyNumberFormat="1" applyFont="1" applyFill="1" applyBorder="1" applyAlignment="1" applyProtection="1">
      <alignment horizontal="right" vertical="center"/>
      <protection/>
    </xf>
    <xf numFmtId="198" fontId="0" fillId="8" borderId="241" xfId="22" applyNumberFormat="1" applyFont="1" applyFill="1" applyBorder="1" applyAlignment="1" applyProtection="1">
      <alignment vertical="center"/>
      <protection locked="0"/>
    </xf>
    <xf numFmtId="198" fontId="0" fillId="8" borderId="36" xfId="22" applyNumberFormat="1" applyFont="1" applyFill="1" applyBorder="1" applyAlignment="1" applyProtection="1">
      <alignment vertical="center"/>
      <protection locked="0"/>
    </xf>
    <xf numFmtId="198" fontId="0" fillId="6" borderId="36" xfId="22" applyNumberFormat="1" applyFont="1" applyFill="1" applyBorder="1" applyAlignment="1" applyProtection="1">
      <alignment vertical="center"/>
      <protection locked="0"/>
    </xf>
    <xf numFmtId="198" fontId="0" fillId="6" borderId="242" xfId="22" applyNumberFormat="1" applyFont="1" applyFill="1" applyBorder="1" applyAlignment="1" applyProtection="1">
      <alignment vertical="center"/>
      <protection locked="0"/>
    </xf>
    <xf numFmtId="198" fontId="0" fillId="0" borderId="0" xfId="22" applyNumberFormat="1" applyFont="1" applyFill="1" applyBorder="1" applyAlignment="1" applyProtection="1">
      <alignment vertical="center"/>
      <protection locked="0"/>
    </xf>
    <xf numFmtId="198" fontId="0" fillId="0" borderId="0" xfId="22" applyNumberFormat="1" applyFont="1" applyFill="1" applyBorder="1" applyAlignment="1" applyProtection="1">
      <alignment horizontal="right" vertical="center"/>
      <protection locked="0"/>
    </xf>
    <xf numFmtId="198" fontId="34" fillId="0" borderId="0" xfId="22" applyNumberFormat="1" applyFont="1" applyFill="1" applyBorder="1" applyAlignment="1" applyProtection="1">
      <alignment horizontal="center" vertical="center"/>
      <protection locked="0"/>
    </xf>
    <xf numFmtId="1" fontId="20" fillId="0" borderId="0" xfId="22" applyNumberFormat="1" applyFont="1" applyAlignment="1" applyProtection="1">
      <alignment horizontal="right"/>
      <protection locked="0"/>
    </xf>
    <xf numFmtId="3" fontId="20" fillId="0" borderId="0" xfId="22" applyNumberFormat="1" applyFont="1" applyAlignment="1" applyProtection="1">
      <alignment horizontal="right"/>
      <protection locked="0"/>
    </xf>
    <xf numFmtId="2" fontId="20" fillId="0" borderId="0" xfId="22" applyNumberFormat="1" applyFont="1" applyAlignment="1" applyProtection="1">
      <alignment horizontal="right"/>
      <protection locked="0"/>
    </xf>
    <xf numFmtId="3" fontId="18" fillId="0" borderId="0" xfId="22" applyNumberFormat="1" applyFont="1" applyProtection="1">
      <alignment/>
      <protection locked="0"/>
    </xf>
    <xf numFmtId="1" fontId="18" fillId="0" borderId="0" xfId="22" applyNumberFormat="1" applyFont="1" applyAlignment="1" applyProtection="1">
      <alignment horizontal="center"/>
      <protection locked="0"/>
    </xf>
    <xf numFmtId="1" fontId="18" fillId="0" borderId="0" xfId="22" applyNumberFormat="1" applyFont="1" applyAlignment="1" applyProtection="1">
      <alignment horizontal="left"/>
      <protection locked="0"/>
    </xf>
    <xf numFmtId="0" fontId="34" fillId="0" borderId="4" xfId="22" applyFont="1" applyFill="1" applyBorder="1" applyAlignment="1" applyProtection="1">
      <alignment horizontal="center" vertical="center" wrapText="1"/>
      <protection/>
    </xf>
    <xf numFmtId="0" fontId="34" fillId="0" borderId="8" xfId="22" applyFont="1" applyFill="1" applyBorder="1" applyAlignment="1" applyProtection="1">
      <alignment horizontal="center" vertical="center" wrapText="1"/>
      <protection/>
    </xf>
    <xf numFmtId="3" fontId="0" fillId="8" borderId="57" xfId="22" applyNumberFormat="1" applyFont="1" applyFill="1" applyBorder="1" applyAlignment="1" applyProtection="1">
      <alignment horizontal="right" vertical="center"/>
      <protection locked="0"/>
    </xf>
    <xf numFmtId="198" fontId="0" fillId="3" borderId="243" xfId="22" applyNumberFormat="1" applyFont="1" applyFill="1" applyBorder="1" applyAlignment="1" applyProtection="1">
      <alignment horizontal="right" vertical="center"/>
      <protection/>
    </xf>
    <xf numFmtId="4" fontId="0" fillId="0" borderId="0" xfId="0" applyNumberFormat="1" applyAlignment="1">
      <alignment/>
    </xf>
    <xf numFmtId="0" fontId="0" fillId="16" borderId="0" xfId="0" applyFill="1" applyBorder="1" applyAlignment="1">
      <alignment horizontal="center" vertical="center"/>
    </xf>
    <xf numFmtId="10" fontId="18" fillId="16" borderId="0" xfId="0" applyNumberFormat="1" applyFont="1" applyFill="1" applyBorder="1" applyAlignment="1">
      <alignment horizontal="center" vertical="center"/>
    </xf>
    <xf numFmtId="175" fontId="22" fillId="16" borderId="0" xfId="0" applyNumberFormat="1" applyFont="1" applyFill="1" applyBorder="1" applyAlignment="1">
      <alignment horizontal="right"/>
    </xf>
    <xf numFmtId="3" fontId="22" fillId="16" borderId="0" xfId="0" applyNumberFormat="1" applyFont="1" applyFill="1" applyBorder="1" applyAlignment="1">
      <alignment horizontal="center"/>
    </xf>
    <xf numFmtId="175" fontId="22" fillId="16" borderId="0" xfId="0" applyNumberFormat="1" applyFont="1" applyFill="1" applyBorder="1" applyAlignment="1">
      <alignment horizontal="center"/>
    </xf>
    <xf numFmtId="175" fontId="58" fillId="16" borderId="0" xfId="0" applyNumberFormat="1" applyFont="1" applyFill="1" applyBorder="1" applyAlignment="1">
      <alignment horizontal="center"/>
    </xf>
    <xf numFmtId="175" fontId="23" fillId="16" borderId="0" xfId="0" applyNumberFormat="1" applyFont="1" applyFill="1" applyBorder="1" applyAlignment="1">
      <alignment horizontal="center"/>
    </xf>
    <xf numFmtId="0" fontId="18" fillId="16" borderId="0" xfId="0" applyFont="1" applyFill="1" applyBorder="1" applyAlignment="1">
      <alignment/>
    </xf>
    <xf numFmtId="3" fontId="23" fillId="16" borderId="0" xfId="0" applyNumberFormat="1" applyFont="1" applyFill="1" applyBorder="1" applyAlignment="1">
      <alignment horizontal="center"/>
    </xf>
    <xf numFmtId="175" fontId="22" fillId="0" borderId="0" xfId="0" applyNumberFormat="1" applyFont="1" applyFill="1" applyBorder="1" applyAlignment="1">
      <alignment horizontal="left"/>
    </xf>
    <xf numFmtId="175" fontId="0" fillId="0" borderId="0" xfId="0" applyNumberFormat="1" applyAlignment="1">
      <alignment/>
    </xf>
    <xf numFmtId="192" fontId="0" fillId="0" borderId="0" xfId="0" applyNumberFormat="1" applyAlignment="1">
      <alignment vertical="center"/>
    </xf>
    <xf numFmtId="175" fontId="22" fillId="19" borderId="44" xfId="0" applyNumberFormat="1" applyFont="1" applyFill="1" applyBorder="1" applyAlignment="1">
      <alignment horizontal="right"/>
    </xf>
    <xf numFmtId="0" fontId="0" fillId="0" borderId="0" xfId="0" applyFill="1" applyBorder="1" applyAlignment="1">
      <alignment wrapText="1"/>
    </xf>
    <xf numFmtId="0" fontId="18" fillId="15" borderId="197" xfId="0" applyFont="1" applyFill="1" applyBorder="1" applyAlignment="1">
      <alignment/>
    </xf>
    <xf numFmtId="0" fontId="18" fillId="15" borderId="199" xfId="0" applyFont="1" applyFill="1" applyBorder="1" applyAlignment="1">
      <alignment/>
    </xf>
    <xf numFmtId="175" fontId="22" fillId="19" borderId="42" xfId="0" applyNumberFormat="1" applyFont="1" applyFill="1" applyBorder="1" applyAlignment="1">
      <alignment horizontal="left"/>
    </xf>
    <xf numFmtId="0" fontId="18" fillId="14" borderId="199" xfId="0" applyFont="1" applyFill="1" applyBorder="1" applyAlignment="1">
      <alignment/>
    </xf>
    <xf numFmtId="0" fontId="18" fillId="6" borderId="199" xfId="0" applyFont="1" applyFill="1" applyBorder="1" applyAlignment="1">
      <alignment/>
    </xf>
    <xf numFmtId="0" fontId="18" fillId="6" borderId="198" xfId="0" applyFont="1" applyFill="1" applyBorder="1" applyAlignment="1">
      <alignment/>
    </xf>
    <xf numFmtId="0" fontId="18" fillId="0" borderId="238" xfId="0" applyFont="1" applyBorder="1" applyAlignment="1">
      <alignment horizontal="center" vertical="center"/>
    </xf>
    <xf numFmtId="10" fontId="18" fillId="0" borderId="239" xfId="0" applyNumberFormat="1" applyFont="1" applyBorder="1" applyAlignment="1">
      <alignment horizontal="center" vertical="center"/>
    </xf>
    <xf numFmtId="0" fontId="18" fillId="0" borderId="239" xfId="0" applyFont="1" applyBorder="1" applyAlignment="1">
      <alignment horizontal="center" vertical="center"/>
    </xf>
    <xf numFmtId="10" fontId="18" fillId="0" borderId="240" xfId="0" applyNumberFormat="1" applyFont="1" applyBorder="1" applyAlignment="1">
      <alignment horizontal="center" vertical="center"/>
    </xf>
    <xf numFmtId="3" fontId="22" fillId="2" borderId="200" xfId="0" applyNumberFormat="1" applyFont="1" applyFill="1" applyBorder="1" applyAlignment="1">
      <alignment horizontal="right"/>
    </xf>
    <xf numFmtId="3" fontId="22" fillId="0" borderId="132" xfId="0" applyNumberFormat="1" applyFont="1" applyFill="1" applyBorder="1" applyAlignment="1">
      <alignment horizontal="right"/>
    </xf>
    <xf numFmtId="175" fontId="23" fillId="15" borderId="92" xfId="0" applyNumberFormat="1" applyFont="1" applyFill="1" applyBorder="1" applyAlignment="1">
      <alignment horizontal="right"/>
    </xf>
    <xf numFmtId="3" fontId="22" fillId="0" borderId="92" xfId="0" applyNumberFormat="1" applyFont="1" applyFill="1" applyBorder="1" applyAlignment="1">
      <alignment horizontal="right"/>
    </xf>
    <xf numFmtId="175" fontId="22" fillId="0" borderId="92" xfId="0" applyNumberFormat="1" applyFont="1" applyFill="1" applyBorder="1" applyAlignment="1">
      <alignment horizontal="right"/>
    </xf>
    <xf numFmtId="175" fontId="22" fillId="0" borderId="135" xfId="0" applyNumberFormat="1" applyFont="1" applyFill="1" applyBorder="1" applyAlignment="1">
      <alignment horizontal="right"/>
    </xf>
    <xf numFmtId="3" fontId="22" fillId="0" borderId="136" xfId="0" applyNumberFormat="1" applyFont="1" applyFill="1" applyBorder="1" applyAlignment="1">
      <alignment horizontal="right"/>
    </xf>
    <xf numFmtId="175" fontId="22" fillId="0" borderId="137" xfId="0" applyNumberFormat="1" applyFont="1" applyFill="1" applyBorder="1" applyAlignment="1">
      <alignment horizontal="right"/>
    </xf>
    <xf numFmtId="3" fontId="22" fillId="0" borderId="213" xfId="0" applyNumberFormat="1" applyFont="1" applyFill="1" applyBorder="1" applyAlignment="1">
      <alignment horizontal="right"/>
    </xf>
    <xf numFmtId="175" fontId="22" fillId="0" borderId="216" xfId="0" applyNumberFormat="1" applyFont="1" applyFill="1" applyBorder="1" applyAlignment="1">
      <alignment horizontal="right"/>
    </xf>
    <xf numFmtId="3" fontId="22" fillId="0" borderId="216" xfId="0" applyNumberFormat="1" applyFont="1" applyFill="1" applyBorder="1" applyAlignment="1">
      <alignment horizontal="right"/>
    </xf>
    <xf numFmtId="175" fontId="23" fillId="6" borderId="137" xfId="0" applyNumberFormat="1" applyFont="1" applyFill="1" applyBorder="1" applyAlignment="1">
      <alignment horizontal="right"/>
    </xf>
    <xf numFmtId="175" fontId="23" fillId="6" borderId="148" xfId="0" applyNumberFormat="1" applyFont="1" applyFill="1" applyBorder="1" applyAlignment="1">
      <alignment horizontal="right"/>
    </xf>
    <xf numFmtId="10" fontId="22" fillId="0" borderId="0" xfId="0" applyNumberFormat="1" applyFont="1" applyFill="1" applyBorder="1" applyAlignment="1">
      <alignment horizontal="center"/>
    </xf>
    <xf numFmtId="175" fontId="22" fillId="16" borderId="0" xfId="0" applyNumberFormat="1" applyFont="1" applyFill="1" applyBorder="1" applyAlignment="1">
      <alignment horizontal="right" vertical="center"/>
    </xf>
    <xf numFmtId="172" fontId="23" fillId="16" borderId="0" xfId="0" applyNumberFormat="1" applyFont="1" applyFill="1" applyBorder="1" applyAlignment="1">
      <alignment horizontal="center"/>
    </xf>
    <xf numFmtId="3" fontId="17" fillId="0" borderId="0" xfId="0" applyNumberFormat="1" applyFont="1" applyAlignment="1">
      <alignment/>
    </xf>
    <xf numFmtId="3" fontId="17" fillId="0" borderId="0" xfId="0" applyNumberFormat="1" applyFont="1" applyBorder="1" applyAlignment="1">
      <alignment/>
    </xf>
    <xf numFmtId="0" fontId="13" fillId="2" borderId="0" xfId="22" applyFont="1" applyFill="1" applyBorder="1" applyAlignment="1" applyProtection="1">
      <alignment horizontal="center" vertical="center" textRotation="90"/>
      <protection/>
    </xf>
    <xf numFmtId="0" fontId="13" fillId="0" borderId="0" xfId="22" applyFont="1" applyBorder="1" applyAlignment="1" applyProtection="1">
      <alignment horizontal="center" vertical="center" textRotation="90"/>
      <protection/>
    </xf>
    <xf numFmtId="0" fontId="0" fillId="0" borderId="1" xfId="0" applyBorder="1" applyAlignment="1">
      <alignment/>
    </xf>
    <xf numFmtId="0" fontId="0" fillId="2" borderId="1" xfId="22" applyFont="1" applyFill="1" applyBorder="1" applyAlignment="1" applyProtection="1">
      <alignment horizontal="center" vertical="center" wrapText="1"/>
      <protection/>
    </xf>
    <xf numFmtId="3" fontId="0" fillId="0" borderId="44" xfId="0" applyNumberFormat="1" applyBorder="1" applyAlignment="1">
      <alignment/>
    </xf>
    <xf numFmtId="3" fontId="0" fillId="10" borderId="44" xfId="0" applyNumberFormat="1" applyFill="1" applyBorder="1" applyAlignment="1">
      <alignment/>
    </xf>
    <xf numFmtId="3" fontId="0" fillId="20" borderId="44" xfId="0" applyNumberFormat="1" applyFill="1" applyBorder="1" applyAlignment="1">
      <alignment/>
    </xf>
    <xf numFmtId="3" fontId="0" fillId="17" borderId="44" xfId="0" applyNumberFormat="1" applyFill="1" applyBorder="1" applyAlignment="1">
      <alignment/>
    </xf>
    <xf numFmtId="3" fontId="0" fillId="0" borderId="132" xfId="0" applyNumberFormat="1" applyBorder="1" applyAlignment="1">
      <alignment/>
    </xf>
    <xf numFmtId="3" fontId="0" fillId="0" borderId="92" xfId="0" applyNumberFormat="1" applyBorder="1" applyAlignment="1">
      <alignment/>
    </xf>
    <xf numFmtId="3" fontId="0" fillId="0" borderId="135" xfId="0" applyNumberFormat="1" applyBorder="1" applyAlignment="1">
      <alignment/>
    </xf>
    <xf numFmtId="3" fontId="0" fillId="0" borderId="136" xfId="0" applyNumberFormat="1" applyBorder="1" applyAlignment="1">
      <alignment/>
    </xf>
    <xf numFmtId="3" fontId="0" fillId="0" borderId="137" xfId="0" applyNumberFormat="1" applyBorder="1" applyAlignment="1">
      <alignment/>
    </xf>
    <xf numFmtId="3" fontId="0" fillId="10" borderId="136" xfId="0" applyNumberFormat="1" applyFill="1" applyBorder="1" applyAlignment="1">
      <alignment/>
    </xf>
    <xf numFmtId="3" fontId="0" fillId="10" borderId="137" xfId="0" applyNumberFormat="1" applyFill="1" applyBorder="1" applyAlignment="1">
      <alignment/>
    </xf>
    <xf numFmtId="3" fontId="0" fillId="20" borderId="136" xfId="0" applyNumberFormat="1" applyFill="1" applyBorder="1" applyAlignment="1">
      <alignment/>
    </xf>
    <xf numFmtId="3" fontId="0" fillId="20" borderId="137" xfId="0" applyNumberFormat="1" applyFill="1" applyBorder="1" applyAlignment="1">
      <alignment/>
    </xf>
    <xf numFmtId="3" fontId="0" fillId="17" borderId="136" xfId="0" applyNumberFormat="1" applyFill="1" applyBorder="1" applyAlignment="1">
      <alignment/>
    </xf>
    <xf numFmtId="3" fontId="0" fillId="17" borderId="137" xfId="0" applyNumberFormat="1" applyFill="1" applyBorder="1" applyAlignment="1">
      <alignment/>
    </xf>
    <xf numFmtId="3" fontId="0" fillId="0" borderId="213" xfId="0" applyNumberFormat="1" applyBorder="1" applyAlignment="1">
      <alignment/>
    </xf>
    <xf numFmtId="3" fontId="0" fillId="0" borderId="216" xfId="0" applyNumberFormat="1" applyBorder="1" applyAlignment="1">
      <alignment/>
    </xf>
    <xf numFmtId="3" fontId="0" fillId="0" borderId="148" xfId="0" applyNumberFormat="1" applyBorder="1" applyAlignment="1">
      <alignment/>
    </xf>
    <xf numFmtId="0" fontId="0" fillId="16" borderId="0" xfId="0" applyFill="1" applyBorder="1" applyAlignment="1">
      <alignment/>
    </xf>
    <xf numFmtId="1" fontId="13" fillId="16" borderId="0" xfId="0" applyNumberFormat="1" applyFont="1" applyFill="1" applyBorder="1" applyAlignment="1" applyProtection="1">
      <alignment horizontal="center" vertical="center"/>
      <protection/>
    </xf>
    <xf numFmtId="49" fontId="13" fillId="16" borderId="0" xfId="0" applyNumberFormat="1" applyFont="1" applyFill="1" applyBorder="1" applyAlignment="1" applyProtection="1">
      <alignment horizontal="center" vertical="center"/>
      <protection/>
    </xf>
    <xf numFmtId="1" fontId="0" fillId="16" borderId="0" xfId="22" applyNumberFormat="1" applyFont="1" applyFill="1" applyBorder="1" applyAlignment="1" applyProtection="1">
      <alignment/>
      <protection/>
    </xf>
    <xf numFmtId="0" fontId="0" fillId="16" borderId="0" xfId="22" applyFont="1" applyFill="1" applyBorder="1" applyAlignment="1" applyProtection="1">
      <alignment/>
      <protection/>
    </xf>
    <xf numFmtId="0" fontId="13" fillId="16" borderId="0" xfId="22" applyFont="1" applyFill="1" applyBorder="1" applyAlignment="1" applyProtection="1">
      <alignment horizontal="center"/>
      <protection/>
    </xf>
    <xf numFmtId="0" fontId="0" fillId="16" borderId="0" xfId="0" applyFont="1" applyFill="1" applyBorder="1" applyAlignment="1" applyProtection="1">
      <alignment/>
      <protection/>
    </xf>
    <xf numFmtId="0" fontId="0" fillId="16" borderId="0" xfId="22" applyFont="1" applyFill="1" applyBorder="1" applyAlignment="1" applyProtection="1">
      <alignment horizontal="center" vertical="center"/>
      <protection/>
    </xf>
    <xf numFmtId="0" fontId="0" fillId="16" borderId="0" xfId="0" applyFont="1" applyFill="1" applyBorder="1" applyAlignment="1" applyProtection="1">
      <alignment horizontal="center" vertical="center"/>
      <protection/>
    </xf>
    <xf numFmtId="1" fontId="0" fillId="16" borderId="0" xfId="22" applyNumberFormat="1" applyFont="1" applyFill="1" applyBorder="1" applyAlignment="1" applyProtection="1">
      <alignment horizontal="center" vertical="center"/>
      <protection/>
    </xf>
    <xf numFmtId="1" fontId="0" fillId="16" borderId="0" xfId="0" applyNumberFormat="1" applyFont="1" applyFill="1" applyBorder="1" applyAlignment="1" applyProtection="1">
      <alignment horizontal="center" vertical="center"/>
      <protection/>
    </xf>
    <xf numFmtId="1" fontId="0" fillId="16" borderId="0" xfId="22" applyNumberFormat="1" applyFont="1" applyFill="1" applyBorder="1" applyAlignment="1" applyProtection="1">
      <alignment vertical="center"/>
      <protection/>
    </xf>
    <xf numFmtId="1" fontId="0" fillId="16" borderId="0" xfId="0" applyNumberFormat="1" applyFont="1" applyFill="1" applyBorder="1" applyAlignment="1" applyProtection="1">
      <alignment/>
      <protection/>
    </xf>
    <xf numFmtId="0" fontId="17" fillId="16" borderId="0" xfId="0" applyFont="1" applyFill="1" applyBorder="1" applyAlignment="1">
      <alignment/>
    </xf>
    <xf numFmtId="0" fontId="0" fillId="0" borderId="0" xfId="0" applyFont="1" applyBorder="1" applyAlignment="1" applyProtection="1">
      <alignment wrapText="1"/>
      <protection/>
    </xf>
    <xf numFmtId="0" fontId="0" fillId="0" borderId="61" xfId="0" applyFont="1" applyBorder="1" applyAlignment="1" applyProtection="1">
      <alignment horizontal="center" wrapText="1"/>
      <protection/>
    </xf>
    <xf numFmtId="0" fontId="33" fillId="18" borderId="30" xfId="22" applyFont="1" applyFill="1" applyBorder="1" applyAlignment="1" applyProtection="1">
      <alignment horizontal="center" vertical="center" wrapText="1"/>
      <protection/>
    </xf>
    <xf numFmtId="0" fontId="70" fillId="18" borderId="30" xfId="22" applyFont="1" applyFill="1" applyBorder="1" applyAlignment="1" applyProtection="1">
      <alignment horizontal="center" vertical="center" wrapText="1"/>
      <protection/>
    </xf>
    <xf numFmtId="0" fontId="0" fillId="16" borderId="0" xfId="0" applyFill="1" applyAlignment="1">
      <alignment textRotation="135"/>
    </xf>
    <xf numFmtId="0" fontId="0" fillId="0" borderId="0" xfId="0" applyAlignment="1">
      <alignment horizontal="left" vertical="top" wrapText="1"/>
    </xf>
    <xf numFmtId="0" fontId="0" fillId="0" borderId="0" xfId="0" applyAlignment="1">
      <alignment/>
    </xf>
    <xf numFmtId="0" fontId="17" fillId="0" borderId="148" xfId="0" applyFont="1" applyBorder="1" applyAlignment="1">
      <alignment horizontal="center" wrapText="1"/>
    </xf>
    <xf numFmtId="0" fontId="4" fillId="0" borderId="0" xfId="0" applyFont="1" applyBorder="1" applyAlignment="1">
      <alignment horizontal="center"/>
    </xf>
    <xf numFmtId="0" fontId="0" fillId="0" borderId="0" xfId="0" applyFill="1" applyAlignment="1">
      <alignment wrapText="1"/>
    </xf>
    <xf numFmtId="0" fontId="0" fillId="0" borderId="0" xfId="0" applyFont="1" applyBorder="1" applyAlignment="1">
      <alignment horizontal="center"/>
    </xf>
    <xf numFmtId="0" fontId="0" fillId="0" borderId="0" xfId="0" applyBorder="1" applyAlignment="1">
      <alignment horizontal="center"/>
    </xf>
    <xf numFmtId="0" fontId="17" fillId="0" borderId="135" xfId="0" applyFont="1" applyBorder="1" applyAlignment="1">
      <alignment horizontal="center" wrapText="1"/>
    </xf>
    <xf numFmtId="3" fontId="23" fillId="6" borderId="0" xfId="0" applyNumberFormat="1" applyFont="1" applyFill="1" applyBorder="1" applyAlignment="1">
      <alignment horizontal="left" wrapText="1"/>
    </xf>
    <xf numFmtId="0" fontId="0" fillId="0" borderId="0" xfId="0" applyFill="1" applyBorder="1" applyAlignment="1">
      <alignment wrapText="1"/>
    </xf>
    <xf numFmtId="175" fontId="22" fillId="0" borderId="0" xfId="0" applyNumberFormat="1" applyFont="1" applyFill="1" applyBorder="1" applyAlignment="1">
      <alignment horizontal="left" vertical="top" wrapText="1"/>
    </xf>
    <xf numFmtId="175" fontId="23" fillId="14" borderId="200" xfId="0" applyNumberFormat="1" applyFont="1" applyFill="1" applyBorder="1" applyAlignment="1">
      <alignment horizontal="left" wrapText="1"/>
    </xf>
    <xf numFmtId="175" fontId="23" fillId="14" borderId="0" xfId="0" applyNumberFormat="1" applyFont="1" applyFill="1" applyBorder="1" applyAlignment="1">
      <alignment horizontal="left" wrapText="1"/>
    </xf>
    <xf numFmtId="3" fontId="23" fillId="6" borderId="200" xfId="0" applyNumberFormat="1" applyFont="1" applyFill="1" applyBorder="1" applyAlignment="1">
      <alignment horizontal="left" wrapText="1"/>
    </xf>
    <xf numFmtId="0" fontId="0" fillId="0" borderId="47" xfId="0" applyBorder="1" applyAlignment="1">
      <alignment horizontal="center" vertical="center"/>
    </xf>
    <xf numFmtId="0" fontId="0" fillId="0" borderId="146" xfId="0" applyBorder="1" applyAlignment="1">
      <alignment horizontal="center" vertical="center"/>
    </xf>
    <xf numFmtId="175" fontId="23" fillId="15" borderId="200" xfId="0" applyNumberFormat="1" applyFont="1" applyFill="1" applyBorder="1" applyAlignment="1">
      <alignment horizontal="left" wrapText="1"/>
    </xf>
    <xf numFmtId="175" fontId="23" fillId="15" borderId="0" xfId="0" applyNumberFormat="1" applyFont="1" applyFill="1" applyBorder="1" applyAlignment="1">
      <alignment horizontal="left" wrapText="1"/>
    </xf>
    <xf numFmtId="0" fontId="6" fillId="0" borderId="133" xfId="0" applyFont="1" applyBorder="1" applyAlignment="1">
      <alignment vertical="center" wrapText="1"/>
    </xf>
    <xf numFmtId="0" fontId="5" fillId="0" borderId="200" xfId="0" applyFont="1" applyBorder="1" applyAlignment="1">
      <alignment vertical="center" wrapText="1"/>
    </xf>
    <xf numFmtId="0" fontId="5" fillId="0" borderId="0" xfId="0" applyFont="1" applyAlignment="1">
      <alignment vertical="center" wrapText="1"/>
    </xf>
    <xf numFmtId="0" fontId="18" fillId="0" borderId="47" xfId="0" applyFont="1" applyBorder="1" applyAlignment="1">
      <alignment horizontal="center" vertical="center"/>
    </xf>
    <xf numFmtId="0" fontId="5" fillId="0" borderId="197" xfId="22" applyFont="1" applyBorder="1" applyAlignment="1" applyProtection="1">
      <alignment horizontal="left" vertical="center" wrapText="1"/>
      <protection locked="0"/>
    </xf>
    <xf numFmtId="0" fontId="0" fillId="0" borderId="0" xfId="0" applyAlignment="1">
      <alignment horizontal="left" vertical="top"/>
    </xf>
    <xf numFmtId="0" fontId="15" fillId="21" borderId="0" xfId="0" applyFont="1" applyFill="1" applyAlignment="1">
      <alignment/>
    </xf>
    <xf numFmtId="0" fontId="23" fillId="0" borderId="0" xfId="0" applyFont="1" applyAlignment="1">
      <alignment/>
    </xf>
    <xf numFmtId="0" fontId="23" fillId="0" borderId="0" xfId="0" applyFont="1" applyAlignment="1">
      <alignment horizontal="left" vertical="top"/>
    </xf>
    <xf numFmtId="0" fontId="17" fillId="0" borderId="0" xfId="0" applyFont="1" applyAlignment="1">
      <alignment horizontal="left" vertical="top"/>
    </xf>
    <xf numFmtId="0" fontId="43" fillId="21" borderId="0" xfId="0" applyFont="1" applyFill="1" applyAlignment="1">
      <alignment horizontal="left" vertical="top"/>
    </xf>
    <xf numFmtId="0" fontId="23" fillId="17" borderId="0" xfId="0" applyFont="1" applyFill="1" applyAlignment="1">
      <alignment horizontal="left" vertical="top"/>
    </xf>
    <xf numFmtId="0" fontId="43" fillId="22" borderId="0" xfId="0" applyFont="1" applyFill="1" applyAlignment="1">
      <alignment horizontal="left" vertical="top"/>
    </xf>
    <xf numFmtId="0" fontId="17" fillId="17" borderId="0" xfId="0" applyFont="1" applyFill="1" applyAlignment="1">
      <alignment/>
    </xf>
    <xf numFmtId="0" fontId="72" fillId="22" borderId="0" xfId="0" applyFont="1" applyFill="1" applyAlignment="1">
      <alignment/>
    </xf>
    <xf numFmtId="0" fontId="0" fillId="16" borderId="0" xfId="0" applyFont="1" applyFill="1" applyAlignment="1">
      <alignment/>
    </xf>
    <xf numFmtId="0" fontId="5" fillId="0" borderId="244" xfId="0" applyFont="1" applyBorder="1" applyAlignment="1">
      <alignment horizontal="center" vertical="center" wrapText="1"/>
    </xf>
    <xf numFmtId="0" fontId="5" fillId="0" borderId="245" xfId="0" applyFont="1" applyBorder="1" applyAlignment="1">
      <alignment horizontal="center" vertical="center" wrapText="1"/>
    </xf>
    <xf numFmtId="0" fontId="5" fillId="0" borderId="246" xfId="0" applyFont="1" applyBorder="1" applyAlignment="1">
      <alignment horizontal="center" vertical="center" wrapText="1"/>
    </xf>
    <xf numFmtId="0" fontId="5" fillId="0" borderId="247" xfId="0" applyFont="1" applyBorder="1" applyAlignment="1">
      <alignment horizontal="center" vertical="center" wrapText="1"/>
    </xf>
    <xf numFmtId="3" fontId="0" fillId="16" borderId="0" xfId="0" applyNumberFormat="1" applyFont="1" applyFill="1" applyAlignment="1">
      <alignment/>
    </xf>
    <xf numFmtId="0" fontId="51" fillId="16" borderId="0" xfId="0" applyFont="1" applyFill="1" applyAlignment="1">
      <alignment horizontal="left"/>
    </xf>
    <xf numFmtId="0" fontId="0" fillId="0" borderId="0" xfId="0" applyAlignment="1">
      <alignment horizontal="left" vertical="top" wrapText="1"/>
    </xf>
    <xf numFmtId="0" fontId="15" fillId="21" borderId="0" xfId="0" applyFont="1" applyFill="1" applyAlignment="1">
      <alignment horizontal="left" vertical="top" wrapText="1"/>
    </xf>
    <xf numFmtId="0" fontId="0" fillId="17" borderId="0" xfId="0" applyFill="1" applyAlignment="1">
      <alignment horizontal="left" vertical="top" wrapText="1"/>
    </xf>
    <xf numFmtId="0" fontId="15" fillId="22" borderId="0" xfId="0" applyFont="1" applyFill="1" applyAlignment="1">
      <alignment horizontal="left" vertical="top" wrapText="1"/>
    </xf>
    <xf numFmtId="0" fontId="0" fillId="0" borderId="0" xfId="0" applyAlignment="1">
      <alignment wrapText="1"/>
    </xf>
    <xf numFmtId="0" fontId="73" fillId="22" borderId="61" xfId="0" applyFont="1" applyFill="1" applyBorder="1" applyAlignment="1">
      <alignment/>
    </xf>
    <xf numFmtId="0" fontId="15" fillId="22" borderId="18" xfId="0" applyFont="1" applyFill="1" applyBorder="1" applyAlignment="1">
      <alignment/>
    </xf>
    <xf numFmtId="0" fontId="15" fillId="22" borderId="59" xfId="0" applyFont="1" applyFill="1" applyBorder="1" applyAlignment="1">
      <alignment/>
    </xf>
    <xf numFmtId="0" fontId="5" fillId="0" borderId="199" xfId="22" applyFont="1" applyBorder="1" applyAlignment="1" applyProtection="1">
      <alignment horizontal="left" vertical="center" wrapText="1"/>
      <protection locked="0"/>
    </xf>
    <xf numFmtId="0" fontId="6" fillId="0" borderId="46" xfId="0" applyFont="1" applyBorder="1" applyAlignment="1">
      <alignment vertical="center" wrapText="1"/>
    </xf>
    <xf numFmtId="0" fontId="5" fillId="0" borderId="145" xfId="22" applyFont="1" applyFill="1" applyBorder="1" applyAlignment="1" applyProtection="1">
      <alignment horizontal="left" vertical="top" wrapText="1"/>
      <protection locked="0"/>
    </xf>
    <xf numFmtId="0" fontId="6" fillId="0" borderId="47" xfId="0" applyFont="1" applyBorder="1" applyAlignment="1">
      <alignment horizontal="left" vertical="top" wrapText="1"/>
    </xf>
    <xf numFmtId="0" fontId="6" fillId="0" borderId="146"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 xfId="0" applyFont="1" applyBorder="1" applyAlignment="1">
      <alignment horizontal="left" vertical="top" wrapText="1"/>
    </xf>
    <xf numFmtId="0" fontId="6" fillId="0" borderId="221" xfId="0" applyFont="1" applyBorder="1" applyAlignment="1">
      <alignment horizontal="left" vertical="top" wrapText="1"/>
    </xf>
    <xf numFmtId="0" fontId="6" fillId="0" borderId="12" xfId="0" applyFont="1" applyBorder="1" applyAlignment="1">
      <alignment horizontal="left" vertical="top" wrapText="1"/>
    </xf>
    <xf numFmtId="0" fontId="6" fillId="0" borderId="248" xfId="0" applyFont="1" applyBorder="1" applyAlignment="1">
      <alignment horizontal="left" vertical="top" wrapText="1"/>
    </xf>
    <xf numFmtId="0" fontId="25" fillId="0" borderId="61" xfId="22" applyFont="1" applyBorder="1" applyAlignment="1" applyProtection="1">
      <alignment horizontal="left" vertical="center"/>
      <protection locked="0"/>
    </xf>
    <xf numFmtId="0" fontId="6" fillId="0" borderId="59" xfId="0" applyFont="1" applyBorder="1" applyAlignment="1">
      <alignment horizontal="left" vertical="center"/>
    </xf>
    <xf numFmtId="0" fontId="25" fillId="0" borderId="145" xfId="22" applyFont="1" applyBorder="1" applyAlignment="1" applyProtection="1">
      <alignment horizontal="left" vertical="center" wrapText="1"/>
      <protection locked="0"/>
    </xf>
    <xf numFmtId="0" fontId="25" fillId="0" borderId="146" xfId="22" applyFont="1" applyBorder="1" applyAlignment="1" applyProtection="1">
      <alignment horizontal="left" vertical="center" wrapText="1"/>
      <protection locked="0"/>
    </xf>
    <xf numFmtId="0" fontId="25" fillId="0" borderId="221" xfId="22" applyFont="1" applyBorder="1" applyAlignment="1" applyProtection="1">
      <alignment horizontal="left" vertical="center" wrapText="1"/>
      <protection locked="0"/>
    </xf>
    <xf numFmtId="0" fontId="25" fillId="0" borderId="248" xfId="22" applyFont="1" applyBorder="1" applyAlignment="1" applyProtection="1">
      <alignment horizontal="left" vertical="center" wrapText="1"/>
      <protection locked="0"/>
    </xf>
    <xf numFmtId="0" fontId="25" fillId="0" borderId="0" xfId="22" applyFont="1" applyAlignment="1" applyProtection="1">
      <alignment wrapText="1"/>
      <protection locked="0"/>
    </xf>
    <xf numFmtId="0" fontId="5" fillId="0" borderId="0" xfId="0" applyFont="1" applyAlignment="1">
      <alignment wrapText="1"/>
    </xf>
    <xf numFmtId="0" fontId="5" fillId="0" borderId="249" xfId="0" applyFont="1" applyBorder="1" applyAlignment="1">
      <alignment wrapText="1"/>
    </xf>
    <xf numFmtId="0" fontId="5" fillId="0" borderId="198" xfId="22" applyFont="1" applyBorder="1" applyAlignment="1" applyProtection="1">
      <alignment horizontal="left" vertical="center" wrapText="1"/>
      <protection locked="0"/>
    </xf>
    <xf numFmtId="0" fontId="6" fillId="0" borderId="195" xfId="0" applyFont="1" applyBorder="1" applyAlignment="1">
      <alignment vertical="center" wrapText="1"/>
    </xf>
    <xf numFmtId="0" fontId="17" fillId="0" borderId="132" xfId="0" applyFont="1" applyBorder="1" applyAlignment="1">
      <alignment horizontal="center" wrapText="1"/>
    </xf>
    <xf numFmtId="0" fontId="17" fillId="0" borderId="213" xfId="0" applyFont="1" applyBorder="1" applyAlignment="1">
      <alignment horizontal="center" wrapText="1"/>
    </xf>
    <xf numFmtId="0" fontId="18" fillId="0" borderId="18" xfId="0" applyFont="1" applyBorder="1" applyAlignment="1">
      <alignment horizontal="center" vertical="center"/>
    </xf>
    <xf numFmtId="0" fontId="4" fillId="0" borderId="59" xfId="0" applyFont="1" applyBorder="1" applyAlignment="1">
      <alignment horizontal="center" vertical="center"/>
    </xf>
    <xf numFmtId="0" fontId="18" fillId="0" borderId="201" xfId="0" applyFont="1" applyBorder="1" applyAlignment="1">
      <alignment horizontal="center" vertical="center"/>
    </xf>
    <xf numFmtId="0" fontId="4" fillId="0" borderId="141" xfId="0" applyFont="1" applyBorder="1" applyAlignment="1">
      <alignment horizontal="center" vertical="center"/>
    </xf>
    <xf numFmtId="0" fontId="18" fillId="0" borderId="61" xfId="0" applyFont="1" applyBorder="1" applyAlignment="1">
      <alignment horizontal="center" vertical="center"/>
    </xf>
    <xf numFmtId="0" fontId="4" fillId="0" borderId="18" xfId="0" applyFont="1" applyBorder="1" applyAlignment="1">
      <alignment horizontal="center" vertical="center"/>
    </xf>
    <xf numFmtId="0" fontId="18" fillId="0" borderId="145" xfId="0" applyFont="1" applyBorder="1" applyAlignment="1">
      <alignment horizontal="center" vertical="center"/>
    </xf>
    <xf numFmtId="0" fontId="0" fillId="0" borderId="225" xfId="0" applyBorder="1" applyAlignment="1">
      <alignment horizontal="center" vertical="top" wrapText="1"/>
    </xf>
    <xf numFmtId="0" fontId="0" fillId="0" borderId="2" xfId="0" applyBorder="1" applyAlignment="1">
      <alignment horizontal="center" vertical="top" wrapText="1"/>
    </xf>
    <xf numFmtId="0" fontId="17" fillId="0" borderId="140" xfId="0" applyFont="1" applyBorder="1" applyAlignment="1">
      <alignment horizontal="center" wrapText="1"/>
    </xf>
    <xf numFmtId="0" fontId="16" fillId="0" borderId="0" xfId="0" applyFont="1" applyBorder="1" applyAlignment="1">
      <alignment horizontal="center"/>
    </xf>
    <xf numFmtId="0" fontId="17" fillId="0" borderId="132" xfId="0" applyFont="1" applyBorder="1" applyAlignment="1">
      <alignment horizontal="center" vertical="top" wrapText="1"/>
    </xf>
    <xf numFmtId="0" fontId="17" fillId="0" borderId="138" xfId="0" applyFont="1" applyBorder="1" applyAlignment="1">
      <alignment horizontal="center" vertical="top" wrapText="1"/>
    </xf>
    <xf numFmtId="0" fontId="49" fillId="0" borderId="92" xfId="0" applyFont="1" applyBorder="1" applyAlignment="1">
      <alignment horizontal="center" vertical="center"/>
    </xf>
    <xf numFmtId="0" fontId="16" fillId="0" borderId="135" xfId="0" applyFont="1" applyBorder="1" applyAlignment="1">
      <alignment horizontal="center" vertical="center"/>
    </xf>
    <xf numFmtId="0" fontId="16" fillId="0" borderId="92" xfId="0" applyFont="1" applyBorder="1" applyAlignment="1">
      <alignment horizontal="center" vertical="center"/>
    </xf>
    <xf numFmtId="0" fontId="49" fillId="0" borderId="132" xfId="0" applyFont="1" applyBorder="1" applyAlignment="1">
      <alignment horizontal="center" vertical="center"/>
    </xf>
    <xf numFmtId="0" fontId="0" fillId="0" borderId="135" xfId="0" applyBorder="1" applyAlignment="1">
      <alignment horizontal="center" vertical="top" wrapText="1"/>
    </xf>
    <xf numFmtId="0" fontId="0" fillId="0" borderId="148" xfId="0" applyBorder="1" applyAlignment="1">
      <alignment horizontal="center" vertical="top" wrapText="1"/>
    </xf>
    <xf numFmtId="0" fontId="0" fillId="0" borderId="222" xfId="0" applyBorder="1" applyAlignment="1">
      <alignment horizontal="center" vertical="top" wrapText="1"/>
    </xf>
    <xf numFmtId="0" fontId="23" fillId="0" borderId="0" xfId="0" applyFont="1" applyAlignment="1">
      <alignment vertical="top" wrapText="1"/>
    </xf>
    <xf numFmtId="0" fontId="22" fillId="0" borderId="0" xfId="0" applyFont="1" applyAlignment="1">
      <alignment vertical="top" wrapText="1"/>
    </xf>
    <xf numFmtId="0" fontId="0" fillId="0" borderId="0" xfId="0" applyAlignment="1">
      <alignment vertical="top" wrapText="1"/>
    </xf>
    <xf numFmtId="0" fontId="0" fillId="0" borderId="92" xfId="0" applyBorder="1" applyAlignment="1">
      <alignment horizontal="center" vertical="top" wrapText="1"/>
    </xf>
    <xf numFmtId="0" fontId="0" fillId="0" borderId="216" xfId="0" applyBorder="1" applyAlignment="1">
      <alignment horizontal="center" vertical="top" wrapText="1"/>
    </xf>
    <xf numFmtId="0" fontId="17" fillId="0" borderId="42" xfId="0" applyFont="1" applyBorder="1" applyAlignment="1">
      <alignment horizontal="center" vertical="top" wrapText="1"/>
    </xf>
    <xf numFmtId="0" fontId="0" fillId="0" borderId="107" xfId="0" applyBorder="1" applyAlignment="1">
      <alignment horizontal="center" vertical="top" wrapText="1"/>
    </xf>
    <xf numFmtId="0" fontId="17" fillId="0" borderId="210" xfId="0" applyFont="1" applyBorder="1" applyAlignment="1">
      <alignment horizontal="center" vertical="top" wrapText="1"/>
    </xf>
    <xf numFmtId="0" fontId="0" fillId="0" borderId="227" xfId="0" applyBorder="1" applyAlignment="1">
      <alignment horizontal="center" vertical="top" wrapText="1"/>
    </xf>
    <xf numFmtId="0" fontId="0" fillId="0" borderId="132" xfId="0" applyBorder="1" applyAlignment="1">
      <alignment horizontal="center" vertical="top" wrapText="1"/>
    </xf>
    <xf numFmtId="0" fontId="0" fillId="0" borderId="213" xfId="0" applyBorder="1" applyAlignment="1">
      <alignment horizontal="center" vertical="top" wrapText="1"/>
    </xf>
    <xf numFmtId="1" fontId="0" fillId="2" borderId="240" xfId="22" applyNumberFormat="1" applyFont="1" applyFill="1" applyBorder="1" applyAlignment="1" applyProtection="1">
      <alignment horizontal="center" vertical="center" wrapText="1"/>
      <protection/>
    </xf>
    <xf numFmtId="1" fontId="0" fillId="0" borderId="250" xfId="0" applyNumberFormat="1" applyBorder="1" applyAlignment="1" applyProtection="1">
      <alignment horizontal="center" vertical="center" wrapText="1"/>
      <protection/>
    </xf>
    <xf numFmtId="1" fontId="0" fillId="2" borderId="225" xfId="22" applyNumberFormat="1" applyFont="1" applyFill="1" applyBorder="1" applyAlignment="1" applyProtection="1">
      <alignment horizontal="center" vertical="center" wrapText="1"/>
      <protection/>
    </xf>
    <xf numFmtId="1" fontId="0" fillId="0" borderId="2" xfId="0" applyNumberFormat="1" applyBorder="1" applyAlignment="1" applyProtection="1">
      <alignment horizontal="center" vertical="center" wrapText="1"/>
      <protection/>
    </xf>
    <xf numFmtId="1" fontId="0" fillId="0" borderId="50" xfId="0" applyNumberFormat="1" applyBorder="1" applyAlignment="1" applyProtection="1">
      <alignment horizontal="center" vertical="center" wrapText="1"/>
      <protection/>
    </xf>
    <xf numFmtId="0" fontId="12" fillId="0" borderId="145" xfId="0" applyFont="1" applyBorder="1" applyAlignment="1" applyProtection="1">
      <alignment horizontal="center" vertical="center" wrapText="1"/>
      <protection/>
    </xf>
    <xf numFmtId="0" fontId="0" fillId="0" borderId="47" xfId="0" applyBorder="1" applyAlignment="1">
      <alignment/>
    </xf>
    <xf numFmtId="0" fontId="0" fillId="0" borderId="146" xfId="0" applyBorder="1" applyAlignment="1">
      <alignment/>
    </xf>
    <xf numFmtId="0" fontId="0" fillId="0" borderId="221" xfId="0" applyBorder="1" applyAlignment="1">
      <alignment/>
    </xf>
    <xf numFmtId="0" fontId="0" fillId="0" borderId="12" xfId="0" applyBorder="1" applyAlignment="1">
      <alignment/>
    </xf>
    <xf numFmtId="0" fontId="0" fillId="0" borderId="248" xfId="0" applyBorder="1" applyAlignment="1">
      <alignment/>
    </xf>
    <xf numFmtId="0" fontId="0" fillId="2" borderId="0" xfId="22" applyFont="1" applyFill="1" applyBorder="1" applyAlignment="1" applyProtection="1">
      <alignment horizontal="right" wrapText="1"/>
      <protection/>
    </xf>
    <xf numFmtId="0" fontId="0" fillId="0" borderId="0" xfId="0" applyBorder="1" applyAlignment="1">
      <alignment/>
    </xf>
    <xf numFmtId="1" fontId="0" fillId="2" borderId="238" xfId="22" applyNumberFormat="1" applyFont="1" applyFill="1" applyBorder="1" applyAlignment="1" applyProtection="1">
      <alignment horizontal="center" vertical="center" wrapText="1"/>
      <protection/>
    </xf>
    <xf numFmtId="1" fontId="0" fillId="0" borderId="251" xfId="0" applyNumberFormat="1" applyBorder="1" applyAlignment="1" applyProtection="1">
      <alignment horizontal="center" vertical="center" wrapText="1"/>
      <protection/>
    </xf>
    <xf numFmtId="0" fontId="16" fillId="0" borderId="61" xfId="22" applyFont="1" applyBorder="1" applyAlignment="1" applyProtection="1">
      <alignment/>
      <protection locked="0"/>
    </xf>
    <xf numFmtId="0" fontId="0" fillId="0" borderId="59" xfId="0" applyBorder="1" applyAlignment="1">
      <alignment/>
    </xf>
    <xf numFmtId="1" fontId="0" fillId="0" borderId="4" xfId="22" applyNumberFormat="1" applyFont="1" applyFill="1" applyBorder="1" applyAlignment="1" applyProtection="1">
      <alignment horizontal="center" vertical="center" wrapText="1"/>
      <protection/>
    </xf>
    <xf numFmtId="1" fontId="0" fillId="0" borderId="126" xfId="0" applyNumberFormat="1" applyFont="1" applyFill="1" applyBorder="1" applyAlignment="1" applyProtection="1">
      <alignment wrapText="1"/>
      <protection/>
    </xf>
    <xf numFmtId="0" fontId="0" fillId="0" borderId="145" xfId="22" applyFont="1" applyFill="1" applyBorder="1" applyAlignment="1" applyProtection="1">
      <alignment horizontal="center" vertical="center"/>
      <protection/>
    </xf>
    <xf numFmtId="0" fontId="0" fillId="0" borderId="47" xfId="22" applyFont="1" applyFill="1" applyBorder="1" applyAlignment="1" applyProtection="1">
      <alignment horizontal="center" vertical="center"/>
      <protection/>
    </xf>
    <xf numFmtId="0" fontId="0" fillId="0" borderId="146" xfId="22" applyFont="1" applyFill="1" applyBorder="1" applyAlignment="1" applyProtection="1">
      <alignment horizontal="center" vertical="center"/>
      <protection/>
    </xf>
    <xf numFmtId="0" fontId="0" fillId="0" borderId="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0" fontId="0" fillId="0" borderId="69" xfId="0" applyFont="1"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0" fontId="0" fillId="0" borderId="252" xfId="0" applyFill="1" applyBorder="1" applyAlignment="1" applyProtection="1">
      <alignment horizontal="center" vertical="center" wrapText="1"/>
      <protection/>
    </xf>
    <xf numFmtId="0" fontId="0" fillId="0" borderId="145" xfId="22" applyFont="1" applyFill="1" applyBorder="1" applyAlignment="1" applyProtection="1">
      <alignment horizontal="center"/>
      <protection/>
    </xf>
    <xf numFmtId="0" fontId="0" fillId="0" borderId="47" xfId="22" applyFont="1" applyFill="1" applyBorder="1" applyAlignment="1" applyProtection="1">
      <alignment horizontal="center"/>
      <protection/>
    </xf>
    <xf numFmtId="0" fontId="0" fillId="0" borderId="67" xfId="22" applyFont="1" applyFill="1" applyBorder="1" applyAlignment="1" applyProtection="1">
      <alignment horizontal="center"/>
      <protection/>
    </xf>
    <xf numFmtId="0" fontId="0" fillId="0" borderId="41" xfId="22" applyFont="1" applyFill="1" applyBorder="1" applyAlignment="1" applyProtection="1">
      <alignment horizontal="center"/>
      <protection/>
    </xf>
    <xf numFmtId="0" fontId="0" fillId="0" borderId="252" xfId="22" applyFont="1" applyFill="1" applyBorder="1" applyAlignment="1" applyProtection="1">
      <alignment horizontal="center"/>
      <protection/>
    </xf>
    <xf numFmtId="0" fontId="0" fillId="0" borderId="253" xfId="22" applyFont="1" applyFill="1" applyBorder="1" applyAlignment="1" applyProtection="1">
      <alignment horizontal="center" vertical="center" wrapText="1"/>
      <protection/>
    </xf>
    <xf numFmtId="0" fontId="0" fillId="0" borderId="254" xfId="0" applyFont="1" applyFill="1" applyBorder="1" applyAlignment="1" applyProtection="1">
      <alignment horizontal="center" vertical="center" wrapText="1"/>
      <protection/>
    </xf>
    <xf numFmtId="0" fontId="0" fillId="0" borderId="255" xfId="22" applyFont="1" applyFill="1" applyBorder="1" applyAlignment="1" applyProtection="1">
      <alignment horizontal="center" vertical="center" wrapText="1"/>
      <protection/>
    </xf>
    <xf numFmtId="0" fontId="0" fillId="0" borderId="251" xfId="0" applyFont="1" applyFill="1" applyBorder="1" applyAlignment="1" applyProtection="1">
      <alignment horizontal="center" vertical="center" wrapText="1"/>
      <protection/>
    </xf>
    <xf numFmtId="0" fontId="0" fillId="0" borderId="34" xfId="22" applyFont="1" applyFill="1" applyBorder="1" applyAlignment="1" applyProtection="1">
      <alignment horizontal="center"/>
      <protection/>
    </xf>
    <xf numFmtId="0" fontId="0" fillId="0" borderId="256" xfId="0" applyFont="1" applyFill="1" applyBorder="1" applyAlignment="1" applyProtection="1">
      <alignment horizontal="center"/>
      <protection/>
    </xf>
    <xf numFmtId="0" fontId="0" fillId="0" borderId="257" xfId="0" applyFont="1" applyFill="1" applyBorder="1" applyAlignment="1" applyProtection="1">
      <alignment horizontal="center"/>
      <protection/>
    </xf>
    <xf numFmtId="0" fontId="13" fillId="0" borderId="258" xfId="22" applyFont="1" applyBorder="1" applyAlignment="1" applyProtection="1">
      <alignment horizontal="center" vertical="center" textRotation="90"/>
      <protection/>
    </xf>
    <xf numFmtId="0" fontId="0" fillId="0" borderId="207" xfId="0" applyBorder="1" applyAlignment="1" applyProtection="1">
      <alignment horizontal="center" vertical="center" textRotation="90"/>
      <protection/>
    </xf>
    <xf numFmtId="0" fontId="0" fillId="0" borderId="259" xfId="0" applyBorder="1" applyAlignment="1" applyProtection="1">
      <alignment horizontal="center" vertical="center" textRotation="90"/>
      <protection/>
    </xf>
    <xf numFmtId="1" fontId="0" fillId="0" borderId="260" xfId="0" applyNumberFormat="1" applyBorder="1" applyAlignment="1" applyProtection="1">
      <alignment horizontal="center" vertical="center" wrapText="1"/>
      <protection/>
    </xf>
    <xf numFmtId="1" fontId="0" fillId="0" borderId="51" xfId="0" applyNumberFormat="1" applyBorder="1" applyAlignment="1" applyProtection="1">
      <alignment horizontal="center" vertical="center" wrapText="1"/>
      <protection/>
    </xf>
    <xf numFmtId="49" fontId="0" fillId="0" borderId="61" xfId="22" applyNumberFormat="1" applyFont="1" applyBorder="1" applyAlignment="1" applyProtection="1">
      <alignment wrapText="1"/>
      <protection/>
    </xf>
    <xf numFmtId="0" fontId="0" fillId="0" borderId="18" xfId="0" applyBorder="1" applyAlignment="1" applyProtection="1">
      <alignment/>
      <protection/>
    </xf>
    <xf numFmtId="0" fontId="0" fillId="0" borderId="59" xfId="0" applyBorder="1" applyAlignment="1" applyProtection="1">
      <alignment/>
      <protection/>
    </xf>
    <xf numFmtId="1" fontId="0" fillId="0" borderId="72" xfId="22" applyNumberFormat="1" applyFont="1" applyFill="1" applyBorder="1" applyAlignment="1" applyProtection="1">
      <alignment horizontal="center" vertical="center" wrapText="1"/>
      <protection/>
    </xf>
    <xf numFmtId="1" fontId="0" fillId="0" borderId="255" xfId="0" applyNumberFormat="1" applyFont="1" applyFill="1" applyBorder="1" applyAlignment="1" applyProtection="1">
      <alignment horizontal="center" vertical="center" wrapText="1"/>
      <protection/>
    </xf>
    <xf numFmtId="0" fontId="6" fillId="0" borderId="0" xfId="22" applyFont="1" applyBorder="1" applyAlignment="1" applyProtection="1">
      <alignment horizontal="center"/>
      <protection/>
    </xf>
    <xf numFmtId="0" fontId="0" fillId="0" borderId="0" xfId="0" applyAlignment="1">
      <alignment/>
    </xf>
    <xf numFmtId="0" fontId="6" fillId="0" borderId="261" xfId="22" applyFont="1" applyBorder="1" applyAlignment="1" applyProtection="1">
      <alignment horizontal="center"/>
      <protection/>
    </xf>
    <xf numFmtId="0" fontId="6" fillId="0" borderId="262" xfId="0" applyFont="1" applyBorder="1" applyAlignment="1" applyProtection="1">
      <alignment horizontal="center"/>
      <protection/>
    </xf>
    <xf numFmtId="0" fontId="6" fillId="0" borderId="262" xfId="0" applyFont="1" applyBorder="1" applyAlignment="1" applyProtection="1">
      <alignment/>
      <protection/>
    </xf>
    <xf numFmtId="0" fontId="6" fillId="0" borderId="263" xfId="0" applyFont="1" applyBorder="1" applyAlignment="1" applyProtection="1">
      <alignment/>
      <protection/>
    </xf>
    <xf numFmtId="0" fontId="9" fillId="0" borderId="0" xfId="22" applyFont="1" applyBorder="1" applyAlignment="1" applyProtection="1">
      <alignment vertical="center"/>
      <protection/>
    </xf>
    <xf numFmtId="0" fontId="0" fillId="0" borderId="0" xfId="0" applyAlignment="1" applyProtection="1">
      <alignment/>
      <protection/>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4" xfId="22" applyFont="1" applyFill="1" applyBorder="1" applyAlignment="1" applyProtection="1">
      <alignment horizontal="center" vertical="center" wrapText="1"/>
      <protection/>
    </xf>
    <xf numFmtId="0" fontId="0" fillId="0" borderId="126" xfId="0" applyFont="1" applyFill="1" applyBorder="1" applyAlignment="1" applyProtection="1">
      <alignment wrapText="1"/>
      <protection/>
    </xf>
    <xf numFmtId="0" fontId="0" fillId="0" borderId="252" xfId="0" applyFill="1" applyBorder="1" applyAlignment="1" applyProtection="1">
      <alignment horizontal="center"/>
      <protection/>
    </xf>
    <xf numFmtId="0" fontId="13" fillId="0" borderId="61" xfId="22" applyFont="1" applyFill="1" applyBorder="1" applyAlignment="1" applyProtection="1">
      <alignment horizontal="center"/>
      <protection/>
    </xf>
    <xf numFmtId="0" fontId="0" fillId="0" borderId="18" xfId="0" applyFont="1" applyFill="1" applyBorder="1" applyAlignment="1" applyProtection="1">
      <alignment/>
      <protection/>
    </xf>
    <xf numFmtId="0" fontId="0" fillId="0" borderId="59" xfId="0" applyFont="1" applyFill="1" applyBorder="1" applyAlignment="1" applyProtection="1">
      <alignment/>
      <protection/>
    </xf>
    <xf numFmtId="0" fontId="17" fillId="0" borderId="9" xfId="22" applyFont="1" applyFill="1" applyBorder="1" applyAlignment="1" applyProtection="1">
      <alignment horizontal="center" vertical="center"/>
      <protection/>
    </xf>
    <xf numFmtId="0" fontId="0" fillId="0" borderId="264" xfId="0" applyFont="1" applyFill="1" applyBorder="1" applyAlignment="1" applyProtection="1">
      <alignment/>
      <protection/>
    </xf>
    <xf numFmtId="0" fontId="0" fillId="0" borderId="42" xfId="22" applyFont="1" applyBorder="1" applyAlignment="1" applyProtection="1">
      <alignment/>
      <protection/>
    </xf>
    <xf numFmtId="0" fontId="0" fillId="0" borderId="46" xfId="0" applyBorder="1" applyAlignment="1">
      <alignment/>
    </xf>
    <xf numFmtId="0" fontId="0" fillId="0" borderId="43" xfId="0" applyBorder="1" applyAlignment="1">
      <alignment/>
    </xf>
    <xf numFmtId="0" fontId="0" fillId="0" borderId="18" xfId="0" applyFont="1" applyBorder="1" applyAlignment="1" applyProtection="1">
      <alignment/>
      <protection/>
    </xf>
    <xf numFmtId="0" fontId="0" fillId="0" borderId="59" xfId="0" applyFont="1" applyBorder="1" applyAlignment="1" applyProtection="1">
      <alignment/>
      <protection/>
    </xf>
    <xf numFmtId="0" fontId="5" fillId="0" borderId="0" xfId="22" applyFont="1" applyFill="1" applyAlignment="1" applyProtection="1">
      <alignment horizontal="left" vertical="top" wrapText="1"/>
      <protection locked="0"/>
    </xf>
    <xf numFmtId="0" fontId="7" fillId="0" borderId="61" xfId="22" applyFont="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8" xfId="0" applyBorder="1" applyAlignment="1">
      <alignment horizontal="center" vertical="center" wrapText="1"/>
    </xf>
    <xf numFmtId="0" fontId="0" fillId="0" borderId="59" xfId="0" applyBorder="1" applyAlignment="1">
      <alignment horizontal="center" vertical="center" wrapText="1"/>
    </xf>
    <xf numFmtId="0" fontId="5" fillId="0" borderId="145" xfId="22" applyFont="1" applyBorder="1" applyAlignment="1" applyProtection="1">
      <alignment horizontal="center" vertical="center"/>
      <protection/>
    </xf>
    <xf numFmtId="0" fontId="0" fillId="2" borderId="145" xfId="22" applyFont="1" applyFill="1" applyBorder="1" applyAlignment="1" applyProtection="1">
      <alignment horizontal="right" wrapText="1"/>
      <protection/>
    </xf>
    <xf numFmtId="0" fontId="0" fillId="0" borderId="3" xfId="0" applyBorder="1" applyAlignment="1">
      <alignment/>
    </xf>
    <xf numFmtId="0" fontId="0" fillId="0" borderId="1" xfId="0" applyBorder="1" applyAlignment="1">
      <alignment/>
    </xf>
    <xf numFmtId="1" fontId="0" fillId="0" borderId="126" xfId="22" applyNumberFormat="1" applyFont="1" applyFill="1" applyBorder="1" applyAlignment="1" applyProtection="1">
      <alignment vertical="center" wrapText="1"/>
      <protection/>
    </xf>
    <xf numFmtId="0" fontId="0" fillId="0" borderId="47" xfId="22" applyFont="1" applyFill="1" applyBorder="1" applyAlignment="1" applyProtection="1">
      <alignment/>
      <protection/>
    </xf>
    <xf numFmtId="0" fontId="0" fillId="0" borderId="146" xfId="0" applyFont="1" applyFill="1" applyBorder="1" applyAlignment="1" applyProtection="1">
      <alignment/>
      <protection/>
    </xf>
    <xf numFmtId="0" fontId="0" fillId="0" borderId="41" xfId="0" applyFont="1" applyFill="1" applyBorder="1" applyAlignment="1" applyProtection="1">
      <alignment/>
      <protection/>
    </xf>
    <xf numFmtId="0" fontId="0" fillId="0" borderId="252" xfId="0" applyFont="1" applyFill="1" applyBorder="1" applyAlignment="1" applyProtection="1">
      <alignment/>
      <protection/>
    </xf>
    <xf numFmtId="0" fontId="0" fillId="0" borderId="4" xfId="22" applyFont="1" applyFill="1" applyBorder="1" applyAlignment="1" applyProtection="1">
      <alignment horizontal="center" vertical="center"/>
      <protection/>
    </xf>
    <xf numFmtId="0" fontId="0" fillId="0" borderId="126" xfId="0" applyFont="1" applyFill="1" applyBorder="1" applyAlignment="1" applyProtection="1">
      <alignment horizontal="center" vertical="center"/>
      <protection/>
    </xf>
    <xf numFmtId="0" fontId="16" fillId="0" borderId="145" xfId="22" applyFont="1" applyBorder="1" applyAlignment="1" applyProtection="1">
      <alignment horizontal="left" vertical="top" wrapText="1"/>
      <protection locked="0"/>
    </xf>
    <xf numFmtId="0" fontId="16" fillId="0" borderId="146" xfId="22" applyFont="1" applyBorder="1" applyAlignment="1" applyProtection="1">
      <alignment horizontal="left" vertical="top" wrapText="1"/>
      <protection locked="0"/>
    </xf>
    <xf numFmtId="0" fontId="16" fillId="0" borderId="221" xfId="22" applyFont="1" applyBorder="1" applyAlignment="1" applyProtection="1">
      <alignment horizontal="left" vertical="top" wrapText="1"/>
      <protection locked="0"/>
    </xf>
    <xf numFmtId="0" fontId="16" fillId="0" borderId="248" xfId="22" applyFont="1" applyBorder="1" applyAlignment="1" applyProtection="1">
      <alignment horizontal="left" vertical="top" wrapText="1"/>
      <protection locked="0"/>
    </xf>
    <xf numFmtId="0" fontId="16" fillId="0" borderId="265" xfId="0" applyFont="1" applyBorder="1" applyAlignment="1">
      <alignment horizontal="center" wrapText="1"/>
    </xf>
    <xf numFmtId="0" fontId="16" fillId="0" borderId="266" xfId="0" applyFont="1" applyBorder="1" applyAlignment="1">
      <alignment horizontal="center" wrapText="1"/>
    </xf>
    <xf numFmtId="0" fontId="16" fillId="0" borderId="267" xfId="0" applyFont="1" applyBorder="1" applyAlignment="1">
      <alignment horizontal="center" wrapText="1"/>
    </xf>
    <xf numFmtId="0" fontId="16" fillId="0" borderId="247" xfId="0" applyFont="1" applyBorder="1" applyAlignment="1">
      <alignment horizontal="center" wrapText="1"/>
    </xf>
    <xf numFmtId="0" fontId="16" fillId="0" borderId="0" xfId="0" applyFont="1" applyAlignment="1">
      <alignment wrapText="1"/>
    </xf>
    <xf numFmtId="0" fontId="16" fillId="0" borderId="249" xfId="0" applyFont="1" applyBorder="1" applyAlignment="1">
      <alignment wrapText="1"/>
    </xf>
    <xf numFmtId="0" fontId="16" fillId="0" borderId="200" xfId="0" applyFont="1" applyBorder="1" applyAlignment="1">
      <alignment wrapText="1"/>
    </xf>
    <xf numFmtId="0" fontId="4" fillId="0" borderId="0" xfId="22" applyFont="1" applyAlignment="1" applyProtection="1">
      <alignment wrapText="1"/>
      <protection locked="0"/>
    </xf>
    <xf numFmtId="0" fontId="0" fillId="0" borderId="18" xfId="0" applyBorder="1" applyAlignment="1">
      <alignment horizontal="center" vertical="center"/>
    </xf>
    <xf numFmtId="0" fontId="0" fillId="0" borderId="59" xfId="0" applyBorder="1" applyAlignment="1">
      <alignment horizontal="center" vertical="center"/>
    </xf>
    <xf numFmtId="0" fontId="16" fillId="0" borderId="268" xfId="0" applyFont="1" applyBorder="1" applyAlignment="1">
      <alignment horizontal="center" wrapText="1"/>
    </xf>
    <xf numFmtId="0" fontId="16" fillId="0" borderId="269" xfId="0" applyFont="1" applyBorder="1" applyAlignment="1">
      <alignment horizontal="center" wrapText="1"/>
    </xf>
    <xf numFmtId="0" fontId="16" fillId="0" borderId="270" xfId="0" applyFont="1" applyBorder="1" applyAlignment="1">
      <alignment horizontal="center" wrapText="1"/>
    </xf>
    <xf numFmtId="0" fontId="0" fillId="0" borderId="0" xfId="0" applyAlignment="1">
      <alignment/>
    </xf>
    <xf numFmtId="0" fontId="34" fillId="0" borderId="255" xfId="22" applyFont="1" applyFill="1" applyBorder="1" applyAlignment="1" applyProtection="1">
      <alignment horizontal="center" vertical="center" wrapText="1"/>
      <protection/>
    </xf>
    <xf numFmtId="0" fontId="34" fillId="0" borderId="251" xfId="0" applyFont="1" applyFill="1" applyBorder="1" applyAlignment="1" applyProtection="1">
      <alignment horizontal="center" vertical="center" wrapText="1"/>
      <protection/>
    </xf>
    <xf numFmtId="0" fontId="33" fillId="0" borderId="67" xfId="22" applyFont="1" applyFill="1" applyBorder="1" applyAlignment="1" applyProtection="1">
      <alignment horizontal="center"/>
      <protection/>
    </xf>
    <xf numFmtId="0" fontId="33" fillId="0" borderId="41" xfId="22" applyFont="1" applyFill="1" applyBorder="1" applyAlignment="1" applyProtection="1">
      <alignment horizontal="center"/>
      <protection/>
    </xf>
    <xf numFmtId="0" fontId="33" fillId="0" borderId="252" xfId="22" applyFont="1" applyFill="1" applyBorder="1" applyAlignment="1" applyProtection="1">
      <alignment horizontal="center"/>
      <protection/>
    </xf>
    <xf numFmtId="0" fontId="0" fillId="0" borderId="57" xfId="0" applyFont="1" applyFill="1" applyBorder="1" applyAlignment="1" applyProtection="1">
      <alignment/>
      <protection/>
    </xf>
    <xf numFmtId="198" fontId="0" fillId="8" borderId="271" xfId="22" applyNumberFormat="1" applyFont="1" applyFill="1" applyBorder="1" applyAlignment="1" applyProtection="1">
      <alignment horizontal="right" vertical="center"/>
      <protection locked="0"/>
    </xf>
    <xf numFmtId="198" fontId="0" fillId="8" borderId="272" xfId="22" applyNumberFormat="1" applyFont="1" applyFill="1" applyBorder="1" applyAlignment="1" applyProtection="1">
      <alignment horizontal="right" vertical="center"/>
      <protection locked="0"/>
    </xf>
    <xf numFmtId="198" fontId="0" fillId="8" borderId="71" xfId="22" applyNumberFormat="1" applyFont="1" applyFill="1" applyBorder="1" applyAlignment="1" applyProtection="1">
      <alignment horizontal="right" vertical="center"/>
      <protection locked="0"/>
    </xf>
    <xf numFmtId="198" fontId="34" fillId="8" borderId="255" xfId="22" applyNumberFormat="1" applyFont="1" applyFill="1" applyBorder="1" applyAlignment="1" applyProtection="1" quotePrefix="1">
      <alignment horizontal="center" vertical="center"/>
      <protection locked="0"/>
    </xf>
    <xf numFmtId="198" fontId="34" fillId="8" borderId="251" xfId="22" applyNumberFormat="1" applyFont="1" applyFill="1" applyBorder="1" applyAlignment="1" applyProtection="1">
      <alignment horizontal="center" vertical="center"/>
      <protection locked="0"/>
    </xf>
    <xf numFmtId="198" fontId="34" fillId="8" borderId="273" xfId="22" applyNumberFormat="1" applyFont="1" applyFill="1" applyBorder="1" applyAlignment="1" applyProtection="1">
      <alignment horizontal="center" vertical="center"/>
      <protection locked="0"/>
    </xf>
    <xf numFmtId="198" fontId="34" fillId="8" borderId="6" xfId="22" applyNumberFormat="1" applyFont="1" applyFill="1" applyBorder="1" applyAlignment="1" applyProtection="1">
      <alignment horizontal="center" vertical="center"/>
      <protection locked="0"/>
    </xf>
    <xf numFmtId="198" fontId="34" fillId="8" borderId="250" xfId="22" applyNumberFormat="1" applyFont="1" applyFill="1" applyBorder="1" applyAlignment="1" applyProtection="1">
      <alignment horizontal="center" vertical="center"/>
      <protection locked="0"/>
    </xf>
    <xf numFmtId="198" fontId="34" fillId="8" borderId="35" xfId="22" applyNumberFormat="1" applyFont="1" applyFill="1" applyBorder="1" applyAlignment="1" applyProtection="1">
      <alignment horizontal="center" vertical="center"/>
      <protection locked="0"/>
    </xf>
    <xf numFmtId="198" fontId="34" fillId="6" borderId="69" xfId="22" applyNumberFormat="1" applyFont="1" applyFill="1" applyBorder="1" applyAlignment="1" applyProtection="1">
      <alignment horizontal="center" vertical="center"/>
      <protection locked="0"/>
    </xf>
    <xf numFmtId="198" fontId="34" fillId="6" borderId="41" xfId="22" applyNumberFormat="1" applyFont="1" applyFill="1" applyBorder="1" applyAlignment="1" applyProtection="1">
      <alignment horizontal="center" vertical="center"/>
      <protection locked="0"/>
    </xf>
    <xf numFmtId="198" fontId="34" fillId="6" borderId="252" xfId="22" applyNumberFormat="1" applyFont="1" applyFill="1" applyBorder="1" applyAlignment="1" applyProtection="1">
      <alignment horizontal="center" vertical="center"/>
      <protection locked="0"/>
    </xf>
    <xf numFmtId="198" fontId="34" fillId="6" borderId="274" xfId="22" applyNumberFormat="1" applyFont="1" applyFill="1" applyBorder="1" applyAlignment="1" applyProtection="1">
      <alignment horizontal="center" vertical="center"/>
      <protection locked="0"/>
    </xf>
    <xf numFmtId="198" fontId="34" fillId="6" borderId="67" xfId="22" applyNumberFormat="1" applyFont="1" applyFill="1" applyBorder="1" applyAlignment="1" applyProtection="1">
      <alignment horizontal="center" vertical="center"/>
      <protection locked="0"/>
    </xf>
    <xf numFmtId="198" fontId="0" fillId="0" borderId="275" xfId="22" applyNumberFormat="1" applyFont="1" applyFill="1" applyBorder="1" applyAlignment="1" applyProtection="1">
      <alignment horizontal="right" vertical="center"/>
      <protection/>
    </xf>
    <xf numFmtId="198" fontId="0" fillId="0" borderId="2" xfId="22" applyNumberFormat="1" applyFont="1" applyFill="1" applyBorder="1" applyAlignment="1" applyProtection="1">
      <alignment horizontal="right" vertical="center"/>
      <protection/>
    </xf>
    <xf numFmtId="198" fontId="0" fillId="0" borderId="276" xfId="22" applyNumberFormat="1" applyFont="1" applyFill="1" applyBorder="1" applyAlignment="1" applyProtection="1">
      <alignment horizontal="right" vertical="center"/>
      <protection/>
    </xf>
    <xf numFmtId="198" fontId="0" fillId="6" borderId="253" xfId="22" applyNumberFormat="1" applyFont="1" applyFill="1" applyBorder="1" applyAlignment="1" applyProtection="1">
      <alignment horizontal="right" vertical="center"/>
      <protection locked="0"/>
    </xf>
    <xf numFmtId="198" fontId="0" fillId="6" borderId="254" xfId="22" applyNumberFormat="1" applyFont="1" applyFill="1" applyBorder="1" applyAlignment="1" applyProtection="1">
      <alignment horizontal="right" vertical="center"/>
      <protection locked="0"/>
    </xf>
    <xf numFmtId="198" fontId="0" fillId="6" borderId="277" xfId="22" applyNumberFormat="1" applyFont="1" applyFill="1" applyBorder="1" applyAlignment="1" applyProtection="1">
      <alignment horizontal="right" vertical="center"/>
      <protection locked="0"/>
    </xf>
    <xf numFmtId="198" fontId="0" fillId="8" borderId="9" xfId="22" applyNumberFormat="1" applyFont="1" applyFill="1" applyBorder="1" applyAlignment="1" applyProtection="1">
      <alignment horizontal="right" vertical="center"/>
      <protection locked="0"/>
    </xf>
    <xf numFmtId="198" fontId="0" fillId="8" borderId="264" xfId="22" applyNumberFormat="1" applyFont="1" applyFill="1" applyBorder="1" applyAlignment="1" applyProtection="1">
      <alignment horizontal="right" vertical="center"/>
      <protection locked="0"/>
    </xf>
    <xf numFmtId="198" fontId="0" fillId="8" borderId="278" xfId="22" applyNumberFormat="1" applyFont="1" applyFill="1" applyBorder="1" applyAlignment="1" applyProtection="1">
      <alignment horizontal="right" vertical="center"/>
      <protection locked="0"/>
    </xf>
    <xf numFmtId="0" fontId="34" fillId="2" borderId="279" xfId="22" applyFont="1" applyFill="1" applyBorder="1" applyAlignment="1" applyProtection="1">
      <alignment horizontal="center" vertical="center" wrapText="1"/>
      <protection/>
    </xf>
    <xf numFmtId="0" fontId="34" fillId="2" borderId="207" xfId="22" applyFont="1" applyFill="1" applyBorder="1" applyAlignment="1" applyProtection="1">
      <alignment horizontal="center" vertical="center" wrapText="1"/>
      <protection/>
    </xf>
    <xf numFmtId="0" fontId="34" fillId="2" borderId="32" xfId="22" applyFont="1" applyFill="1" applyBorder="1" applyAlignment="1" applyProtection="1">
      <alignment horizontal="center" vertical="center" wrapText="1"/>
      <protection/>
    </xf>
    <xf numFmtId="198" fontId="0" fillId="6" borderId="4" xfId="22" applyNumberFormat="1" applyFont="1" applyFill="1" applyBorder="1" applyAlignment="1" applyProtection="1">
      <alignment horizontal="right" vertical="center"/>
      <protection locked="0"/>
    </xf>
    <xf numFmtId="198" fontId="0" fillId="6" borderId="126" xfId="22" applyNumberFormat="1" applyFont="1" applyFill="1" applyBorder="1" applyAlignment="1" applyProtection="1">
      <alignment horizontal="right" vertical="center"/>
      <protection locked="0"/>
    </xf>
    <xf numFmtId="198" fontId="0" fillId="6" borderId="38" xfId="22" applyNumberFormat="1" applyFont="1" applyFill="1" applyBorder="1" applyAlignment="1" applyProtection="1">
      <alignment horizontal="right" vertical="center"/>
      <protection locked="0"/>
    </xf>
    <xf numFmtId="198" fontId="0" fillId="6" borderId="255" xfId="22" applyNumberFormat="1" applyFont="1" applyFill="1" applyBorder="1" applyAlignment="1" applyProtection="1">
      <alignment horizontal="right" vertical="center"/>
      <protection locked="0"/>
    </xf>
    <xf numFmtId="198" fontId="0" fillId="6" borderId="251" xfId="22" applyNumberFormat="1" applyFont="1" applyFill="1" applyBorder="1" applyAlignment="1" applyProtection="1">
      <alignment horizontal="right" vertical="center"/>
      <protection locked="0"/>
    </xf>
    <xf numFmtId="198" fontId="0" fillId="6" borderId="273" xfId="22" applyNumberFormat="1" applyFont="1" applyFill="1" applyBorder="1" applyAlignment="1" applyProtection="1">
      <alignment horizontal="right" vertical="center"/>
      <protection locked="0"/>
    </xf>
    <xf numFmtId="198" fontId="0" fillId="8" borderId="280" xfId="22" applyNumberFormat="1" applyFont="1" applyFill="1" applyBorder="1" applyAlignment="1" applyProtection="1">
      <alignment horizontal="right" vertical="center"/>
      <protection locked="0"/>
    </xf>
    <xf numFmtId="198" fontId="0" fillId="8" borderId="281" xfId="22" applyNumberFormat="1" applyFont="1" applyFill="1" applyBorder="1" applyAlignment="1" applyProtection="1">
      <alignment horizontal="right" vertical="center"/>
      <protection locked="0"/>
    </xf>
    <xf numFmtId="198" fontId="0" fillId="8" borderId="241" xfId="22" applyNumberFormat="1" applyFont="1" applyFill="1" applyBorder="1" applyAlignment="1" applyProtection="1">
      <alignment horizontal="right" vertical="center"/>
      <protection locked="0"/>
    </xf>
    <xf numFmtId="0" fontId="0" fillId="0" borderId="0" xfId="0" applyFont="1" applyFill="1" applyBorder="1" applyAlignment="1">
      <alignment horizontal="center"/>
    </xf>
    <xf numFmtId="0" fontId="0" fillId="0" borderId="0" xfId="0" applyFill="1" applyBorder="1" applyAlignment="1">
      <alignment horizontal="center"/>
    </xf>
    <xf numFmtId="0" fontId="18" fillId="0" borderId="0" xfId="0" applyFont="1" applyFill="1" applyBorder="1" applyAlignment="1">
      <alignment horizontal="center" vertical="center"/>
    </xf>
    <xf numFmtId="0" fontId="0" fillId="0" borderId="0" xfId="0" applyFill="1" applyBorder="1" applyAlignment="1">
      <alignment horizontal="center" vertical="center"/>
    </xf>
    <xf numFmtId="3" fontId="0" fillId="6" borderId="69" xfId="22" applyNumberFormat="1" applyFont="1" applyFill="1" applyBorder="1" applyAlignment="1" applyProtection="1">
      <alignment horizontal="right" vertical="center"/>
      <protection locked="0"/>
    </xf>
    <xf numFmtId="3" fontId="0" fillId="6" borderId="40" xfId="22" applyNumberFormat="1" applyFont="1" applyFill="1" applyBorder="1" applyAlignment="1" applyProtection="1">
      <alignment horizontal="right" vertical="center"/>
      <protection locked="0"/>
    </xf>
    <xf numFmtId="0" fontId="16" fillId="0" borderId="0" xfId="22" applyFont="1" applyAlignment="1" applyProtection="1">
      <alignment horizontal="left" vertical="top" wrapText="1"/>
      <protection locked="0"/>
    </xf>
    <xf numFmtId="179" fontId="23" fillId="0" borderId="282" xfId="23" applyNumberFormat="1" applyFont="1" applyBorder="1" applyAlignment="1" applyProtection="1">
      <alignment horizontal="center"/>
      <protection/>
    </xf>
    <xf numFmtId="179" fontId="23" fillId="0" borderId="159" xfId="23" applyNumberFormat="1" applyFont="1" applyBorder="1" applyAlignment="1" applyProtection="1">
      <alignment horizontal="center"/>
      <protection/>
    </xf>
    <xf numFmtId="189" fontId="25" fillId="0" borderId="212" xfId="22" applyNumberFormat="1" applyFont="1" applyBorder="1" applyAlignment="1" applyProtection="1">
      <alignment horizontal="right" vertical="center"/>
      <protection locked="0"/>
    </xf>
    <xf numFmtId="189" fontId="25" fillId="23" borderId="224" xfId="22" applyNumberFormat="1" applyFont="1" applyFill="1" applyBorder="1" applyAlignment="1" applyProtection="1">
      <alignment horizontal="right" vertical="center"/>
      <protection locked="0"/>
    </xf>
    <xf numFmtId="186" fontId="25" fillId="23" borderId="212" xfId="22" applyNumberFormat="1" applyFont="1" applyFill="1" applyBorder="1" applyAlignment="1" applyProtection="1">
      <alignment horizontal="right" vertical="center"/>
      <protection locked="0"/>
    </xf>
    <xf numFmtId="0" fontId="74" fillId="0" borderId="0" xfId="0" applyFont="1" applyBorder="1" applyAlignment="1" quotePrefix="1">
      <alignment/>
    </xf>
    <xf numFmtId="0" fontId="75" fillId="0" borderId="0" xfId="0" applyFont="1" applyAlignment="1">
      <alignment/>
    </xf>
    <xf numFmtId="0" fontId="0" fillId="0" borderId="0" xfId="0" applyBorder="1" applyAlignment="1">
      <alignment horizontal="left" indent="1"/>
    </xf>
    <xf numFmtId="3" fontId="0" fillId="0" borderId="0" xfId="0" applyNumberFormat="1" applyBorder="1" applyAlignment="1">
      <alignment horizontal="left" indent="1"/>
    </xf>
    <xf numFmtId="3" fontId="0" fillId="0" borderId="12" xfId="0" applyNumberFormat="1" applyBorder="1" applyAlignment="1">
      <alignment horizontal="left" indent="1"/>
    </xf>
    <xf numFmtId="0" fontId="34" fillId="0" borderId="0" xfId="0" applyFont="1" applyAlignment="1">
      <alignment/>
    </xf>
  </cellXfs>
  <cellStyles count="11">
    <cellStyle name="Normal" xfId="0"/>
    <cellStyle name="Comma" xfId="15"/>
    <cellStyle name="Comma [0]" xfId="16"/>
    <cellStyle name="Comma_~3784803" xfId="17"/>
    <cellStyle name="Currency" xfId="18"/>
    <cellStyle name="Currency [0]" xfId="19"/>
    <cellStyle name="Followed Hyperlink" xfId="20"/>
    <cellStyle name="Hyperlink" xfId="21"/>
    <cellStyle name="Normal_Ausria wood Energy" xfId="22"/>
    <cellStyle name="Normal_P02" xfId="23"/>
    <cellStyle name="Percent" xfId="24"/>
  </cellStyles>
  <dxfs count="3">
    <dxf>
      <font>
        <color rgb="FFC0C0C0"/>
      </font>
      <border/>
    </dxf>
    <dxf>
      <font>
        <b/>
        <i val="0"/>
      </font>
      <border/>
    </dxf>
    <dxf>
      <font>
        <strike val="0"/>
        <color rgb="FFFFFFFF"/>
      </font>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image" Target="../media/image5.jpeg" /></Relationships>
</file>

<file path=xl/charts/_rels/chart3.xml.rels><?xml version="1.0" encoding="utf-8" standalone="yes"?><Relationships xmlns="http://schemas.openxmlformats.org/package/2006/relationships"><Relationship Id="rId1" Type="http://schemas.openxmlformats.org/officeDocument/2006/relationships/image" Target="../media/image6.jpeg" /></Relationships>
</file>

<file path=xl/charts/_rels/chart4.xml.rels><?xml version="1.0" encoding="utf-8" standalone="yes"?><Relationships xmlns="http://schemas.openxmlformats.org/package/2006/relationships"><Relationship Id="rId1" Type="http://schemas.openxmlformats.org/officeDocument/2006/relationships/image" Target="../media/image7.jpeg" /></Relationships>
</file>

<file path=xl/charts/_rels/chart5.xml.rels><?xml version="1.0" encoding="utf-8" standalone="yes"?><Relationships xmlns="http://schemas.openxmlformats.org/package/2006/relationships"><Relationship Id="rId1" Type="http://schemas.openxmlformats.org/officeDocument/2006/relationships/image" Target="../media/image8.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2625"/>
          <c:y val="-0.02025"/>
        </c:manualLayout>
      </c:layout>
      <c:spPr>
        <a:noFill/>
        <a:ln>
          <a:noFill/>
        </a:ln>
      </c:spPr>
      <c:txPr>
        <a:bodyPr vert="horz" rot="0"/>
        <a:lstStyle/>
        <a:p>
          <a:pPr>
            <a:defRPr lang="en-US" cap="none" sz="1575" b="1" i="0" u="none" baseline="0">
              <a:latin typeface="Arial"/>
              <a:ea typeface="Arial"/>
              <a:cs typeface="Arial"/>
            </a:defRPr>
          </a:pPr>
        </a:p>
      </c:txPr>
    </c:title>
    <c:plotArea>
      <c:layout>
        <c:manualLayout>
          <c:xMode val="edge"/>
          <c:yMode val="edge"/>
          <c:x val="0.216"/>
          <c:y val="0.10625"/>
          <c:w val="0.781"/>
          <c:h val="0.7985"/>
        </c:manualLayout>
      </c:layout>
      <c:pieChart>
        <c:varyColors val="1"/>
        <c:ser>
          <c:idx val="0"/>
          <c:order val="0"/>
          <c:tx>
            <c:strRef>
              <c:f>'Interactive chart'!$R$7</c:f>
              <c:strCache>
                <c:ptCount val="1"/>
                <c:pt idx="0">
                  <c:v>'Germany'
 Sources wood fuel</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pattFill prst="dashHorz">
                <a:fgClr>
                  <a:srgbClr val="00FF00"/>
                </a:fgClr>
                <a:bgClr>
                  <a:srgbClr val="FFFFFF"/>
                </a:bgClr>
              </a:pattFill>
            </c:spPr>
          </c:dPt>
          <c:dPt>
            <c:idx val="1"/>
            <c:spPr>
              <a:blipFill>
                <a:blip r:embed="rId1"/>
                <a:srcRect/>
                <a:tile sx="100000" sy="100000" flip="none" algn="tl"/>
              </a:blipFill>
            </c:spPr>
          </c:dPt>
          <c:dPt>
            <c:idx val="2"/>
            <c:spPr>
              <a:pattFill prst="dkHorz">
                <a:fgClr>
                  <a:srgbClr val="000000"/>
                </a:fgClr>
                <a:bgClr>
                  <a:srgbClr val="FFFFFF"/>
                </a:bgClr>
              </a:pattFill>
            </c:spPr>
          </c:dPt>
          <c:cat>
            <c:strRef>
              <c:f>'Interactive chart'!$R$8:$T$8</c:f>
              <c:strCache/>
            </c:strRef>
          </c:cat>
          <c:val>
            <c:numRef>
              <c:f>'Interactive chart'!$R$9:$T$9</c:f>
              <c:numCache>
                <c:ptCount val="3"/>
                <c:pt idx="0">
                  <c:v>13023000</c:v>
                </c:pt>
                <c:pt idx="1">
                  <c:v>10230600</c:v>
                </c:pt>
                <c:pt idx="2">
                  <c:v>7016999.999999999</c:v>
                </c:pt>
              </c:numCache>
            </c:numRef>
          </c:val>
        </c:ser>
      </c:pieChart>
      <c:spPr>
        <a:noFill/>
        <a:ln>
          <a:noFill/>
        </a:ln>
      </c:spPr>
    </c:plotArea>
    <c:legend>
      <c:legendPos val="r"/>
      <c:layout>
        <c:manualLayout>
          <c:xMode val="edge"/>
          <c:yMode val="edge"/>
          <c:x val="0"/>
          <c:y val="0.72925"/>
          <c:w val="0.314"/>
          <c:h val="0.270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015"/>
          <c:y val="-0.02025"/>
        </c:manualLayout>
      </c:layout>
      <c:spPr>
        <a:noFill/>
        <a:ln>
          <a:noFill/>
        </a:ln>
      </c:spPr>
      <c:txPr>
        <a:bodyPr vert="horz" rot="0"/>
        <a:lstStyle/>
        <a:p>
          <a:pPr>
            <a:defRPr lang="en-US" cap="none" sz="1575" b="1" i="0" u="none" baseline="0">
              <a:latin typeface="Arial"/>
              <a:ea typeface="Arial"/>
              <a:cs typeface="Arial"/>
            </a:defRPr>
          </a:pPr>
        </a:p>
      </c:txPr>
    </c:title>
    <c:plotArea>
      <c:layout>
        <c:manualLayout>
          <c:xMode val="edge"/>
          <c:yMode val="edge"/>
          <c:x val="0.21075"/>
          <c:y val="0.10775"/>
          <c:w val="0.786"/>
          <c:h val="0.79575"/>
        </c:manualLayout>
      </c:layout>
      <c:pieChart>
        <c:varyColors val="1"/>
        <c:ser>
          <c:idx val="0"/>
          <c:order val="0"/>
          <c:tx>
            <c:strRef>
              <c:f>'Interactive chart'!$R$10</c:f>
              <c:strCache>
                <c:ptCount val="1"/>
                <c:pt idx="0">
                  <c:v>'Germany'
 User wood energy</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FF0000"/>
                  </a:gs>
                  <a:gs pos="100000">
                    <a:srgbClr val="750000"/>
                  </a:gs>
                </a:gsLst>
                <a:lin ang="5400000" scaled="1"/>
              </a:gradFill>
            </c:spPr>
          </c:dPt>
          <c:dPt>
            <c:idx val="1"/>
            <c:spPr>
              <a:solidFill>
                <a:srgbClr val="99CC00"/>
              </a:solidFill>
            </c:spPr>
          </c:dPt>
          <c:dPt>
            <c:idx val="2"/>
            <c:spPr>
              <a:pattFill prst="horzBrick">
                <a:fgClr>
                  <a:srgbClr val="0000FF"/>
                </a:fgClr>
                <a:bgClr>
                  <a:srgbClr val="FFFFFF"/>
                </a:bgClr>
              </a:pattFill>
            </c:spPr>
          </c:dPt>
          <c:cat>
            <c:strRef>
              <c:f>'Interactive chart'!$R$11:$T$11</c:f>
              <c:strCache/>
            </c:strRef>
          </c:cat>
          <c:val>
            <c:numRef>
              <c:f>'Interactive chart'!$R$12:$T$12</c:f>
              <c:numCache>
                <c:ptCount val="3"/>
                <c:pt idx="0">
                  <c:v>15363600</c:v>
                </c:pt>
                <c:pt idx="1">
                  <c:v>1696000</c:v>
                </c:pt>
                <c:pt idx="2">
                  <c:v>13211000</c:v>
                </c:pt>
              </c:numCache>
            </c:numRef>
          </c:val>
        </c:ser>
      </c:pieChart>
      <c:spPr>
        <a:noFill/>
        <a:ln>
          <a:noFill/>
        </a:ln>
      </c:spPr>
    </c:plotArea>
    <c:legend>
      <c:legendPos val="r"/>
      <c:layout>
        <c:manualLayout>
          <c:xMode val="edge"/>
          <c:yMode val="edge"/>
          <c:x val="0"/>
          <c:y val="0.74525"/>
          <c:w val="0.38625"/>
          <c:h val="0.2547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Europe</a:t>
            </a:r>
          </a:p>
        </c:rich>
      </c:tx>
      <c:layout>
        <c:manualLayout>
          <c:xMode val="factor"/>
          <c:yMode val="factor"/>
          <c:x val="-0.4325"/>
          <c:y val="-0.02"/>
        </c:manualLayout>
      </c:layout>
      <c:spPr>
        <a:noFill/>
        <a:ln>
          <a:noFill/>
        </a:ln>
      </c:spPr>
    </c:title>
    <c:plotArea>
      <c:layout>
        <c:manualLayout>
          <c:xMode val="edge"/>
          <c:yMode val="edge"/>
          <c:x val="0.07775"/>
          <c:y val="0.045"/>
          <c:w val="0.91525"/>
          <c:h val="0.87825"/>
        </c:manualLayout>
      </c:layout>
      <c:barChart>
        <c:barDir val="col"/>
        <c:grouping val="stacked"/>
        <c:varyColors val="0"/>
        <c:ser>
          <c:idx val="0"/>
          <c:order val="0"/>
          <c:tx>
            <c:strRef>
              <c:f>'Table Sources'!$B$31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Sources'!$A$35:$A$46</c:f>
              <c:strCache/>
            </c:strRef>
          </c:cat>
          <c:val>
            <c:numRef>
              <c:f>'Table Sources'!$B$35:$B$46</c:f>
              <c:numCache>
                <c:ptCount val="12"/>
                <c:pt idx="0">
                  <c:v>34786619.71830986</c:v>
                </c:pt>
                <c:pt idx="1">
                  <c:v>6923153.96578538</c:v>
                </c:pt>
                <c:pt idx="2">
                  <c:v>6802529.334762668</c:v>
                </c:pt>
                <c:pt idx="3">
                  <c:v>13023000</c:v>
                </c:pt>
                <c:pt idx="4">
                  <c:v>6929323</c:v>
                </c:pt>
                <c:pt idx="5">
                  <c:v>5036000</c:v>
                </c:pt>
                <c:pt idx="6">
                  <c:v>3128000</c:v>
                </c:pt>
                <c:pt idx="7">
                  <c:v>1934800</c:v>
                </c:pt>
                <c:pt idx="8">
                  <c:v>1484200</c:v>
                </c:pt>
                <c:pt idx="9">
                  <c:v>1591162</c:v>
                </c:pt>
                <c:pt idx="10">
                  <c:v>312500</c:v>
                </c:pt>
                <c:pt idx="11">
                  <c:v>580100</c:v>
                </c:pt>
              </c:numCache>
            </c:numRef>
          </c:val>
        </c:ser>
        <c:ser>
          <c:idx val="1"/>
          <c:order val="1"/>
          <c:tx>
            <c:strRef>
              <c:f>'Table Sources'!$C$31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Sources'!$A$35:$A$46</c:f>
              <c:strCache/>
            </c:strRef>
          </c:cat>
          <c:val>
            <c:numRef>
              <c:f>'Table Sources'!$C$35:$C$46</c:f>
              <c:numCache>
                <c:ptCount val="12"/>
                <c:pt idx="0">
                  <c:v>4978500</c:v>
                </c:pt>
                <c:pt idx="1">
                  <c:v>31760044.790046655</c:v>
                </c:pt>
                <c:pt idx="2">
                  <c:v>25807563.21189923</c:v>
                </c:pt>
                <c:pt idx="3">
                  <c:v>10230600</c:v>
                </c:pt>
                <c:pt idx="4">
                  <c:v>7025394.062830482</c:v>
                </c:pt>
                <c:pt idx="5">
                  <c:v>2903000</c:v>
                </c:pt>
                <c:pt idx="6">
                  <c:v>2386500</c:v>
                </c:pt>
                <c:pt idx="7">
                  <c:v>1250004</c:v>
                </c:pt>
                <c:pt idx="8">
                  <c:v>1724440</c:v>
                </c:pt>
                <c:pt idx="9">
                  <c:v>596381</c:v>
                </c:pt>
                <c:pt idx="10">
                  <c:v>1387000</c:v>
                </c:pt>
                <c:pt idx="11">
                  <c:v>532000</c:v>
                </c:pt>
              </c:numCache>
            </c:numRef>
          </c:val>
        </c:ser>
        <c:ser>
          <c:idx val="2"/>
          <c:order val="2"/>
          <c:tx>
            <c:strRef>
              <c:f>'Table Sources'!$D$31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Sources'!$A$35:$A$46</c:f>
              <c:strCache/>
            </c:strRef>
          </c:cat>
          <c:val>
            <c:numRef>
              <c:f>'Table Sources'!$D$35:$D$46</c:f>
              <c:numCache>
                <c:ptCount val="12"/>
                <c:pt idx="0">
                  <c:v>1500000</c:v>
                </c:pt>
                <c:pt idx="1">
                  <c:v>693900</c:v>
                </c:pt>
                <c:pt idx="2">
                  <c:v>303010.0992123599</c:v>
                </c:pt>
                <c:pt idx="3">
                  <c:v>7016999.999999999</c:v>
                </c:pt>
                <c:pt idx="4">
                  <c:v>488250</c:v>
                </c:pt>
                <c:pt idx="5">
                  <c:v>0</c:v>
                </c:pt>
                <c:pt idx="6">
                  <c:v>258300</c:v>
                </c:pt>
                <c:pt idx="7">
                  <c:v>600000</c:v>
                </c:pt>
                <c:pt idx="8">
                  <c:v>0</c:v>
                </c:pt>
                <c:pt idx="9">
                  <c:v>26058</c:v>
                </c:pt>
                <c:pt idx="10">
                  <c:v>262500</c:v>
                </c:pt>
                <c:pt idx="11">
                  <c:v>450000</c:v>
                </c:pt>
              </c:numCache>
            </c:numRef>
          </c:val>
        </c:ser>
        <c:overlap val="100"/>
        <c:axId val="33998500"/>
        <c:axId val="37551045"/>
      </c:barChart>
      <c:catAx>
        <c:axId val="33998500"/>
        <c:scaling>
          <c:orientation val="minMax"/>
        </c:scaling>
        <c:axPos val="b"/>
        <c:delete val="0"/>
        <c:numFmt formatCode="General" sourceLinked="1"/>
        <c:majorTickMark val="out"/>
        <c:minorTickMark val="none"/>
        <c:tickLblPos val="nextTo"/>
        <c:txPr>
          <a:bodyPr vert="horz" rot="-5400000"/>
          <a:lstStyle/>
          <a:p>
            <a:pPr>
              <a:defRPr lang="en-US" cap="none" sz="1325" b="0" i="0" u="none" baseline="0">
                <a:latin typeface="Arial"/>
                <a:ea typeface="Arial"/>
                <a:cs typeface="Arial"/>
              </a:defRPr>
            </a:pPr>
          </a:p>
        </c:txPr>
        <c:crossAx val="37551045"/>
        <c:crosses val="autoZero"/>
        <c:auto val="1"/>
        <c:lblOffset val="100"/>
        <c:noMultiLvlLbl val="0"/>
      </c:catAx>
      <c:valAx>
        <c:axId val="37551045"/>
        <c:scaling>
          <c:orientation val="minMax"/>
        </c:scaling>
        <c:axPos val="l"/>
        <c:title>
          <c:tx>
            <c:rich>
              <a:bodyPr vert="horz" rot="-5400000" anchor="ctr"/>
              <a:lstStyle/>
              <a:p>
                <a:pPr algn="ctr">
                  <a:defRPr/>
                </a:pPr>
                <a:r>
                  <a:rPr lang="en-US" cap="none" sz="1200" b="1" i="0" u="none" baseline="0">
                    <a:latin typeface="Arial"/>
                    <a:ea typeface="Arial"/>
                    <a:cs typeface="Arial"/>
                  </a:rPr>
                  <a:t>1 000 000 m3</a:t>
                </a:r>
              </a:p>
            </c:rich>
          </c:tx>
          <c:layout/>
          <c:overlay val="0"/>
          <c:spPr>
            <a:noFill/>
            <a:ln>
              <a:noFill/>
            </a:ln>
          </c:spPr>
        </c:title>
        <c:majorGridlines/>
        <c:delete val="0"/>
        <c:numFmt formatCode="General" sourceLinked="1"/>
        <c:majorTickMark val="out"/>
        <c:minorTickMark val="none"/>
        <c:tickLblPos val="nextTo"/>
        <c:crossAx val="33998500"/>
        <c:crossesAt val="1"/>
        <c:crossBetween val="between"/>
        <c:dispUnits>
          <c:builtInUnit val="millions"/>
        </c:dispUnits>
      </c:valAx>
      <c:spPr>
        <a:solidFill>
          <a:srgbClr val="C0C0C0"/>
        </a:solidFill>
        <a:ln w="12700">
          <a:solidFill>
            <a:srgbClr val="808080"/>
          </a:solidFill>
        </a:ln>
      </c:spPr>
    </c:plotArea>
    <c:legend>
      <c:legendPos val="r"/>
      <c:layout>
        <c:manualLayout>
          <c:xMode val="edge"/>
          <c:yMode val="edge"/>
          <c:x val="0.426"/>
          <c:y val="0.1045"/>
        </c:manualLayout>
      </c:layout>
      <c:overlay val="0"/>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North America</a:t>
            </a:r>
          </a:p>
        </c:rich>
      </c:tx>
      <c:layout>
        <c:manualLayout>
          <c:xMode val="factor"/>
          <c:yMode val="factor"/>
          <c:x val="-0.1065"/>
          <c:y val="-0.0205"/>
        </c:manualLayout>
      </c:layout>
      <c:spPr>
        <a:noFill/>
        <a:ln>
          <a:noFill/>
        </a:ln>
      </c:spPr>
    </c:title>
    <c:plotArea>
      <c:layout>
        <c:manualLayout>
          <c:xMode val="edge"/>
          <c:yMode val="edge"/>
          <c:x val="0"/>
          <c:y val="0.04725"/>
          <c:w val="0.65625"/>
          <c:h val="0.768"/>
        </c:manualLayout>
      </c:layout>
      <c:barChart>
        <c:barDir val="col"/>
        <c:grouping val="stacked"/>
        <c:varyColors val="0"/>
        <c:ser>
          <c:idx val="0"/>
          <c:order val="0"/>
          <c:tx>
            <c:strRef>
              <c:f>'Table Sources'!$B$31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Sources'!$A$33:$A$34</c:f>
              <c:strCache/>
            </c:strRef>
          </c:cat>
          <c:val>
            <c:numRef>
              <c:f>'Table Sources'!$B$33:$B$34</c:f>
              <c:numCache>
                <c:ptCount val="2"/>
                <c:pt idx="0">
                  <c:v>46738330.589999996</c:v>
                </c:pt>
                <c:pt idx="1">
                  <c:v>3080000</c:v>
                </c:pt>
              </c:numCache>
            </c:numRef>
          </c:val>
        </c:ser>
        <c:ser>
          <c:idx val="1"/>
          <c:order val="1"/>
          <c:tx>
            <c:strRef>
              <c:f>'Table Sources'!$C$31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Sources'!$A$33:$A$34</c:f>
              <c:strCache/>
            </c:strRef>
          </c:cat>
          <c:val>
            <c:numRef>
              <c:f>'Table Sources'!$C$33:$C$34</c:f>
              <c:numCache>
                <c:ptCount val="2"/>
                <c:pt idx="0">
                  <c:v>163230837.32546312</c:v>
                </c:pt>
                <c:pt idx="1">
                  <c:v>44729616.22395024</c:v>
                </c:pt>
              </c:numCache>
            </c:numRef>
          </c:val>
        </c:ser>
        <c:ser>
          <c:idx val="2"/>
          <c:order val="2"/>
          <c:tx>
            <c:strRef>
              <c:f>'Table Sources'!$D$31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Sources'!$A$33:$A$34</c:f>
              <c:strCache/>
            </c:strRef>
          </c:cat>
          <c:val>
            <c:numRef>
              <c:f>'Table Sources'!$D$33:$D$34</c:f>
              <c:numCache>
                <c:ptCount val="2"/>
                <c:pt idx="0">
                  <c:v>2505805.2649729857</c:v>
                </c:pt>
                <c:pt idx="1">
                  <c:v>0</c:v>
                </c:pt>
              </c:numCache>
            </c:numRef>
          </c:val>
        </c:ser>
        <c:overlap val="100"/>
        <c:axId val="2415086"/>
        <c:axId val="21735775"/>
      </c:barChart>
      <c:catAx>
        <c:axId val="2415086"/>
        <c:scaling>
          <c:orientation val="minMax"/>
        </c:scaling>
        <c:axPos val="b"/>
        <c:delete val="0"/>
        <c:numFmt formatCode="General" sourceLinked="1"/>
        <c:majorTickMark val="out"/>
        <c:minorTickMark val="none"/>
        <c:tickLblPos val="nextTo"/>
        <c:txPr>
          <a:bodyPr vert="horz" rot="-5400000"/>
          <a:lstStyle/>
          <a:p>
            <a:pPr>
              <a:defRPr lang="en-US" cap="none" sz="1350" b="0" i="0" u="none" baseline="0">
                <a:latin typeface="Arial"/>
                <a:ea typeface="Arial"/>
                <a:cs typeface="Arial"/>
              </a:defRPr>
            </a:pPr>
          </a:p>
        </c:txPr>
        <c:crossAx val="21735775"/>
        <c:crosses val="autoZero"/>
        <c:auto val="1"/>
        <c:lblOffset val="100"/>
        <c:noMultiLvlLbl val="0"/>
      </c:catAx>
      <c:valAx>
        <c:axId val="21735775"/>
        <c:scaling>
          <c:orientation val="minMax"/>
        </c:scaling>
        <c:axPos val="l"/>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15086"/>
        <c:crossesAt val="1"/>
        <c:crossBetween val="between"/>
        <c:dispUnits>
          <c:builtInUnit val="millions"/>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4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25" b="1" i="0" u="none" baseline="0">
                <a:latin typeface="Arial"/>
                <a:ea typeface="Arial"/>
                <a:cs typeface="Arial"/>
              </a:rPr>
              <a:t>Wood for energy generation per capita</a:t>
            </a:r>
          </a:p>
        </c:rich>
      </c:tx>
      <c:layout>
        <c:manualLayout>
          <c:xMode val="factor"/>
          <c:yMode val="factor"/>
          <c:x val="-0.063"/>
          <c:y val="-0.00325"/>
        </c:manualLayout>
      </c:layout>
      <c:spPr>
        <a:noFill/>
        <a:ln>
          <a:noFill/>
        </a:ln>
      </c:spPr>
    </c:title>
    <c:plotArea>
      <c:layout>
        <c:manualLayout>
          <c:xMode val="edge"/>
          <c:yMode val="edge"/>
          <c:x val="0.063"/>
          <c:y val="0.13625"/>
          <c:w val="0.925"/>
          <c:h val="0.799"/>
        </c:manualLayout>
      </c:layout>
      <c:barChart>
        <c:barDir val="col"/>
        <c:grouping val="stacked"/>
        <c:varyColors val="0"/>
        <c:ser>
          <c:idx val="0"/>
          <c:order val="0"/>
          <c:tx>
            <c:strRef>
              <c:f>'Table Sources'!$B$71</c:f>
              <c:strCache>
                <c:ptCount val="1"/>
                <c:pt idx="0">
                  <c:v>S1 Direct</c:v>
                </c:pt>
              </c:strCache>
            </c:strRef>
          </c:tx>
          <c:spPr>
            <a:pattFill prst="dashHorz">
              <a:fgClr>
                <a:srgbClr val="00FF0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'Table Sources'!$A$72:$A$85</c:f>
              <c:strCache/>
            </c:strRef>
          </c:cat>
          <c:val>
            <c:numRef>
              <c:f>'Table Sources'!$B$72:$B$85</c:f>
              <c:numCache>
                <c:ptCount val="14"/>
                <c:pt idx="0">
                  <c:v>1.3003337049559214</c:v>
                </c:pt>
                <c:pt idx="1">
                  <c:v>0.7678234630658156</c:v>
                </c:pt>
                <c:pt idx="2">
                  <c:v>0.8457737694193007</c:v>
                </c:pt>
                <c:pt idx="3">
                  <c:v>0.6784042751614681</c:v>
                </c:pt>
                <c:pt idx="4">
                  <c:v>0.7914862459068012</c:v>
                </c:pt>
                <c:pt idx="5">
                  <c:v>0.41389818918845056</c:v>
                </c:pt>
                <c:pt idx="6">
                  <c:v>0.09305436199572845</c:v>
                </c:pt>
                <c:pt idx="7">
                  <c:v>0.4920152548176901</c:v>
                </c:pt>
                <c:pt idx="8">
                  <c:v>0</c:v>
                </c:pt>
                <c:pt idx="9">
                  <c:v>0.15660658924147683</c:v>
                </c:pt>
                <c:pt idx="10">
                  <c:v>0.25715270761279935</c:v>
                </c:pt>
                <c:pt idx="11">
                  <c:v>0</c:v>
                </c:pt>
                <c:pt idx="12">
                  <c:v>0.01894920043772956</c:v>
                </c:pt>
                <c:pt idx="13">
                  <c:v>0.00957116163626309</c:v>
                </c:pt>
              </c:numCache>
            </c:numRef>
          </c:val>
        </c:ser>
        <c:ser>
          <c:idx val="1"/>
          <c:order val="1"/>
          <c:tx>
            <c:strRef>
              <c:f>'Table Sources'!$C$71</c:f>
              <c:strCache>
                <c:ptCount val="1"/>
                <c:pt idx="0">
                  <c:v>S2 Indirect</c:v>
                </c:pt>
              </c:strCache>
            </c:strRef>
          </c:tx>
          <c:spPr>
            <a:blipFill>
              <a:blip r:embed="rId1"/>
              <a:srcRect/>
              <a:tile sx="100000" sy="100000" flip="none" algn="tl"/>
            </a:blipFill>
          </c:spPr>
          <c:invertIfNegative val="0"/>
          <c:extLst>
            <c:ext xmlns:c14="http://schemas.microsoft.com/office/drawing/2007/8/2/chart" uri="{6F2FDCE9-48DA-4B69-8628-5D25D57E5C99}">
              <c14:invertSolidFillFmt>
                <c14:spPr>
                  <a:solidFill>
                    <a:srgbClr val="000000"/>
                  </a:solidFill>
                </c14:spPr>
              </c14:invertSolidFillFmt>
            </c:ext>
          </c:extLst>
          <c:cat>
            <c:strRef>
              <c:f>'Table Sources'!$A$72:$A$85</c:f>
              <c:strCache/>
            </c:strRef>
          </c:cat>
          <c:val>
            <c:numRef>
              <c:f>'Table Sources'!$C$72:$C$85</c:f>
              <c:numCache>
                <c:ptCount val="14"/>
                <c:pt idx="0">
                  <c:v>4.933230367081375</c:v>
                </c:pt>
                <c:pt idx="1">
                  <c:v>3.522398562611284</c:v>
                </c:pt>
                <c:pt idx="2">
                  <c:v>0.8574999344345922</c:v>
                </c:pt>
                <c:pt idx="3">
                  <c:v>0.5175868934376098</c:v>
                </c:pt>
                <c:pt idx="4">
                  <c:v>0.29665575146977113</c:v>
                </c:pt>
                <c:pt idx="5">
                  <c:v>0.4808938103787439</c:v>
                </c:pt>
                <c:pt idx="6">
                  <c:v>1.3513915259848939</c:v>
                </c:pt>
                <c:pt idx="7">
                  <c:v>0.2836219787005072</c:v>
                </c:pt>
                <c:pt idx="8">
                  <c:v>0</c:v>
                </c:pt>
                <c:pt idx="9">
                  <c:v>0.5469391903792242</c:v>
                </c:pt>
                <c:pt idx="10">
                  <c:v>0.16613702353050944</c:v>
                </c:pt>
                <c:pt idx="11">
                  <c:v>0</c:v>
                </c:pt>
                <c:pt idx="12">
                  <c:v>0.08410413122281889</c:v>
                </c:pt>
                <c:pt idx="13">
                  <c:v>0.008777552129791354</c:v>
                </c:pt>
              </c:numCache>
            </c:numRef>
          </c:val>
        </c:ser>
        <c:ser>
          <c:idx val="2"/>
          <c:order val="2"/>
          <c:tx>
            <c:strRef>
              <c:f>'Table Sources'!$D$71</c:f>
              <c:strCache>
                <c:ptCount val="1"/>
                <c:pt idx="0">
                  <c:v>S3 Recovered</c:v>
                </c:pt>
              </c:strCache>
            </c:strRef>
          </c:tx>
          <c:spPr>
            <a:pattFill prst="dk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Sources'!$A$72:$A$85</c:f>
              <c:strCache/>
            </c:strRef>
          </c:cat>
          <c:val>
            <c:numRef>
              <c:f>'Table Sources'!$D$72:$D$85</c:f>
              <c:numCache>
                <c:ptCount val="14"/>
                <c:pt idx="0">
                  <c:v>0.05792172669279874</c:v>
                </c:pt>
                <c:pt idx="1">
                  <c:v>0.07695808928336148</c:v>
                </c:pt>
                <c:pt idx="2">
                  <c:v>0.059594428332893926</c:v>
                </c:pt>
                <c:pt idx="3">
                  <c:v>0.05602040417973376</c:v>
                </c:pt>
                <c:pt idx="4">
                  <c:v>0.012961941396186828</c:v>
                </c:pt>
                <c:pt idx="5">
                  <c:v>0</c:v>
                </c:pt>
                <c:pt idx="6">
                  <c:v>0</c:v>
                </c:pt>
                <c:pt idx="7">
                  <c:v>0</c:v>
                </c:pt>
                <c:pt idx="8">
                  <c:v>0</c:v>
                </c:pt>
                <c:pt idx="9">
                  <c:v>0.008396226628058398</c:v>
                </c:pt>
                <c:pt idx="10">
                  <c:v>0.07974551610899298</c:v>
                </c:pt>
                <c:pt idx="11">
                  <c:v>0</c:v>
                </c:pt>
                <c:pt idx="12">
                  <c:v>0.015917328367692832</c:v>
                </c:pt>
                <c:pt idx="13">
                  <c:v>0.007424621162417498</c:v>
                </c:pt>
              </c:numCache>
            </c:numRef>
          </c:val>
        </c:ser>
        <c:overlap val="100"/>
        <c:axId val="61404248"/>
        <c:axId val="15767321"/>
      </c:barChart>
      <c:catAx>
        <c:axId val="61404248"/>
        <c:scaling>
          <c:orientation val="minMax"/>
        </c:scaling>
        <c:axPos val="b"/>
        <c:delete val="0"/>
        <c:numFmt formatCode="General" sourceLinked="1"/>
        <c:majorTickMark val="out"/>
        <c:minorTickMark val="none"/>
        <c:tickLblPos val="nextTo"/>
        <c:txPr>
          <a:bodyPr vert="horz" rot="-5400000"/>
          <a:lstStyle/>
          <a:p>
            <a:pPr>
              <a:defRPr lang="en-US" cap="none" sz="1375" b="0" i="0" u="none" baseline="0">
                <a:latin typeface="Arial"/>
                <a:ea typeface="Arial"/>
                <a:cs typeface="Arial"/>
              </a:defRPr>
            </a:pPr>
          </a:p>
        </c:txPr>
        <c:crossAx val="15767321"/>
        <c:crosses val="autoZero"/>
        <c:auto val="1"/>
        <c:lblOffset val="100"/>
        <c:noMultiLvlLbl val="0"/>
      </c:catAx>
      <c:valAx>
        <c:axId val="15767321"/>
        <c:scaling>
          <c:orientation val="minMax"/>
        </c:scaling>
        <c:axPos val="l"/>
        <c:majorGridlines/>
        <c:delete val="0"/>
        <c:numFmt formatCode="General" sourceLinked="1"/>
        <c:majorTickMark val="out"/>
        <c:minorTickMark val="none"/>
        <c:tickLblPos val="nextTo"/>
        <c:crossAx val="61404248"/>
        <c:crossesAt val="1"/>
        <c:crossBetween val="between"/>
        <c:dispUnits/>
      </c:valAx>
      <c:spPr>
        <a:solidFill>
          <a:srgbClr val="C0C0C0"/>
        </a:solidFill>
        <a:ln w="12700">
          <a:solidFill>
            <a:srgbClr val="808080"/>
          </a:solidFill>
        </a:ln>
      </c:spPr>
    </c:plotArea>
    <c:legend>
      <c:legendPos val="r"/>
      <c:layout>
        <c:manualLayout>
          <c:xMode val="edge"/>
          <c:yMode val="edge"/>
          <c:x val="0.45"/>
          <c:y val="0.181"/>
        </c:manualLayout>
      </c:layout>
      <c:overlay val="0"/>
    </c:legend>
    <c:plotVisOnly val="1"/>
    <c:dispBlanksAs val="gap"/>
    <c:showDLblsOverMax val="0"/>
  </c:chart>
  <c:spPr>
    <a:ln w="3175">
      <a:noFill/>
    </a:ln>
  </c:spPr>
  <c:txPr>
    <a:bodyPr vert="horz" rot="0"/>
    <a:lstStyle/>
    <a:p>
      <a:pPr>
        <a:defRPr lang="en-US" cap="none" sz="1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0" b="1" i="0" u="none" baseline="0">
                <a:latin typeface="Arial"/>
                <a:ea typeface="Arial"/>
                <a:cs typeface="Arial"/>
              </a:rPr>
              <a:t>Europe</a:t>
            </a:r>
          </a:p>
        </c:rich>
      </c:tx>
      <c:layout>
        <c:manualLayout>
          <c:xMode val="factor"/>
          <c:yMode val="factor"/>
          <c:x val="-0.4375"/>
          <c:y val="-0.02075"/>
        </c:manualLayout>
      </c:layout>
      <c:spPr>
        <a:noFill/>
        <a:ln>
          <a:noFill/>
        </a:ln>
      </c:spPr>
    </c:title>
    <c:plotArea>
      <c:layout>
        <c:manualLayout>
          <c:xMode val="edge"/>
          <c:yMode val="edge"/>
          <c:x val="0.06825"/>
          <c:y val="0.07575"/>
          <c:w val="0.917"/>
          <c:h val="0.87125"/>
        </c:manualLayout>
      </c:layout>
      <c:barChart>
        <c:barDir val="col"/>
        <c:grouping val="stacked"/>
        <c:varyColors val="0"/>
        <c:ser>
          <c:idx val="0"/>
          <c:order val="0"/>
          <c:tx>
            <c:strRef>
              <c:f>'Table user'!$B$31</c:f>
              <c:strCache>
                <c:ptCount val="1"/>
                <c:pt idx="0">
                  <c:v>U1 Power and heat</c:v>
                </c:pt>
              </c:strCache>
            </c:strRef>
          </c:tx>
          <c:spPr>
            <a:gradFill rotWithShape="1">
              <a:gsLst>
                <a:gs pos="0">
                  <a:srgbClr val="FF000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'Table user'!$A$35:$A$46</c:f>
              <c:strCache/>
            </c:strRef>
          </c:cat>
          <c:val>
            <c:numRef>
              <c:f>'Table user'!$B$35:$B$46</c:f>
              <c:numCache>
                <c:ptCount val="12"/>
                <c:pt idx="0">
                  <c:v>513.5</c:v>
                </c:pt>
                <c:pt idx="1">
                  <c:v>10995.45396578538</c:v>
                </c:pt>
                <c:pt idx="2">
                  <c:v>8593.778062315945</c:v>
                </c:pt>
                <c:pt idx="3">
                  <c:v>15363.6</c:v>
                </c:pt>
                <c:pt idx="4">
                  <c:v>2050.547462830482</c:v>
                </c:pt>
                <c:pt idx="5">
                  <c:v>537.8799129082425</c:v>
                </c:pt>
                <c:pt idx="6">
                  <c:v>595.0971732503888</c:v>
                </c:pt>
                <c:pt idx="7">
                  <c:v>2268</c:v>
                </c:pt>
                <c:pt idx="8">
                  <c:v>774.8</c:v>
                </c:pt>
                <c:pt idx="9">
                  <c:v>27.792</c:v>
                </c:pt>
                <c:pt idx="10">
                  <c:v>1400</c:v>
                </c:pt>
                <c:pt idx="11">
                  <c:v>707.5</c:v>
                </c:pt>
              </c:numCache>
            </c:numRef>
          </c:val>
        </c:ser>
        <c:ser>
          <c:idx val="1"/>
          <c:order val="1"/>
          <c:tx>
            <c:strRef>
              <c:f>'Table user'!$C$31</c:f>
              <c:strCache>
                <c:ptCount val="1"/>
                <c:pt idx="0">
                  <c:v>U2 Industrial</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user'!$A$35:$A$46</c:f>
              <c:strCache/>
            </c:strRef>
          </c:cat>
          <c:val>
            <c:numRef>
              <c:f>'Table user'!$C$35:$C$46</c:f>
              <c:numCache>
                <c:ptCount val="12"/>
                <c:pt idx="0">
                  <c:v>3825</c:v>
                </c:pt>
                <c:pt idx="1">
                  <c:v>19458.490824261273</c:v>
                </c:pt>
                <c:pt idx="2">
                  <c:v>18595.560036982282</c:v>
                </c:pt>
                <c:pt idx="3">
                  <c:v>1696</c:v>
                </c:pt>
                <c:pt idx="4">
                  <c:v>3854.6846</c:v>
                </c:pt>
                <c:pt idx="5">
                  <c:v>2270.1200870917573</c:v>
                </c:pt>
                <c:pt idx="6">
                  <c:v>2010.7028267496112</c:v>
                </c:pt>
                <c:pt idx="7">
                  <c:v>224</c:v>
                </c:pt>
                <c:pt idx="8">
                  <c:v>421.56</c:v>
                </c:pt>
                <c:pt idx="9">
                  <c:v>531.063</c:v>
                </c:pt>
                <c:pt idx="10">
                  <c:v>150</c:v>
                </c:pt>
                <c:pt idx="11">
                  <c:v>234.6</c:v>
                </c:pt>
              </c:numCache>
            </c:numRef>
          </c:val>
        </c:ser>
        <c:ser>
          <c:idx val="2"/>
          <c:order val="2"/>
          <c:tx>
            <c:strRef>
              <c:f>'Table user'!$D$31</c:f>
              <c:strCache>
                <c:ptCount val="1"/>
                <c:pt idx="0">
                  <c:v>U3 Private households</c:v>
                </c:pt>
              </c:strCache>
            </c:strRef>
          </c:tx>
          <c:spPr>
            <a:pattFill prst="horzBri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user'!$A$35:$A$46</c:f>
              <c:strCache/>
            </c:strRef>
          </c:cat>
          <c:val>
            <c:numRef>
              <c:f>'Table user'!$D$35:$D$46</c:f>
              <c:numCache>
                <c:ptCount val="12"/>
                <c:pt idx="0">
                  <c:v>36926.619718309856</c:v>
                </c:pt>
                <c:pt idx="1">
                  <c:v>8923.153965785381</c:v>
                </c:pt>
                <c:pt idx="2">
                  <c:v>5723.764546576027</c:v>
                </c:pt>
                <c:pt idx="3">
                  <c:v>13211</c:v>
                </c:pt>
                <c:pt idx="4">
                  <c:v>8537.735</c:v>
                </c:pt>
                <c:pt idx="5">
                  <c:v>5131</c:v>
                </c:pt>
                <c:pt idx="6">
                  <c:v>3167</c:v>
                </c:pt>
                <c:pt idx="7">
                  <c:v>1292.804</c:v>
                </c:pt>
                <c:pt idx="8">
                  <c:v>2012.28</c:v>
                </c:pt>
                <c:pt idx="9">
                  <c:v>1654.746</c:v>
                </c:pt>
                <c:pt idx="10">
                  <c:v>412</c:v>
                </c:pt>
                <c:pt idx="11">
                  <c:v>620</c:v>
                </c:pt>
              </c:numCache>
            </c:numRef>
          </c:val>
        </c:ser>
        <c:overlap val="100"/>
        <c:axId val="7688162"/>
        <c:axId val="2084595"/>
      </c:barChart>
      <c:catAx>
        <c:axId val="7688162"/>
        <c:scaling>
          <c:orientation val="minMax"/>
        </c:scaling>
        <c:axPos val="b"/>
        <c:delete val="0"/>
        <c:numFmt formatCode="General" sourceLinked="1"/>
        <c:majorTickMark val="out"/>
        <c:minorTickMark val="none"/>
        <c:tickLblPos val="nextTo"/>
        <c:txPr>
          <a:bodyPr vert="horz" rot="-5400000"/>
          <a:lstStyle/>
          <a:p>
            <a:pPr>
              <a:defRPr lang="en-US" cap="none" sz="1325" b="0" i="0" u="none" baseline="0">
                <a:latin typeface="Arial"/>
                <a:ea typeface="Arial"/>
                <a:cs typeface="Arial"/>
              </a:defRPr>
            </a:pPr>
          </a:p>
        </c:txPr>
        <c:crossAx val="2084595"/>
        <c:crosses val="autoZero"/>
        <c:auto val="1"/>
        <c:lblOffset val="100"/>
        <c:noMultiLvlLbl val="0"/>
      </c:catAx>
      <c:valAx>
        <c:axId val="2084595"/>
        <c:scaling>
          <c:orientation val="minMax"/>
        </c:scaling>
        <c:axPos val="l"/>
        <c:title>
          <c:tx>
            <c:rich>
              <a:bodyPr vert="horz" rot="-5400000" anchor="ctr"/>
              <a:lstStyle/>
              <a:p>
                <a:pPr algn="ctr">
                  <a:defRPr/>
                </a:pPr>
                <a:r>
                  <a:rPr lang="en-US" cap="none" sz="1200" b="1" i="0" u="none" baseline="0">
                    <a:latin typeface="Arial"/>
                    <a:ea typeface="Arial"/>
                    <a:cs typeface="Arial"/>
                  </a:rPr>
                  <a:t>1 000 000 m³</a:t>
                </a:r>
              </a:p>
            </c:rich>
          </c:tx>
          <c:layout/>
          <c:overlay val="0"/>
          <c:spPr>
            <a:noFill/>
            <a:ln>
              <a:noFill/>
            </a:ln>
          </c:spPr>
        </c:title>
        <c:majorGridlines/>
        <c:delete val="0"/>
        <c:numFmt formatCode="General" sourceLinked="1"/>
        <c:majorTickMark val="out"/>
        <c:minorTickMark val="none"/>
        <c:tickLblPos val="nextTo"/>
        <c:crossAx val="7688162"/>
        <c:crossesAt val="1"/>
        <c:crossBetween val="between"/>
        <c:dispUnits>
          <c:builtInUnit val="thousands"/>
        </c:dispUnits>
      </c:valAx>
      <c:spPr>
        <a:solidFill>
          <a:srgbClr val="C0C0C0"/>
        </a:solidFill>
        <a:ln w="12700">
          <a:solidFill>
            <a:srgbClr val="808080"/>
          </a:solidFill>
        </a:ln>
      </c:spPr>
    </c:plotArea>
    <c:legend>
      <c:legendPos val="r"/>
      <c:layout>
        <c:manualLayout>
          <c:xMode val="edge"/>
          <c:yMode val="edge"/>
          <c:x val="0.31175"/>
          <c:y val="0.132"/>
        </c:manualLayout>
      </c:layout>
      <c:overlay val="0"/>
      <c:txPr>
        <a:bodyPr vert="horz" rot="0"/>
        <a:lstStyle/>
        <a:p>
          <a:pPr>
            <a:defRPr lang="en-US" cap="none" sz="102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latin typeface="Arial"/>
                <a:ea typeface="Arial"/>
                <a:cs typeface="Arial"/>
              </a:rPr>
              <a:t>North America</a:t>
            </a:r>
          </a:p>
        </c:rich>
      </c:tx>
      <c:layout>
        <c:manualLayout>
          <c:xMode val="factor"/>
          <c:yMode val="factor"/>
          <c:x val="0.10275"/>
          <c:y val="-0.0195"/>
        </c:manualLayout>
      </c:layout>
      <c:spPr>
        <a:noFill/>
        <a:ln>
          <a:noFill/>
        </a:ln>
      </c:spPr>
    </c:title>
    <c:plotArea>
      <c:layout>
        <c:manualLayout>
          <c:xMode val="edge"/>
          <c:yMode val="edge"/>
          <c:x val="0.26275"/>
          <c:y val="0.07575"/>
          <c:w val="0.60575"/>
          <c:h val="0.753"/>
        </c:manualLayout>
      </c:layout>
      <c:barChart>
        <c:barDir val="col"/>
        <c:grouping val="stacked"/>
        <c:varyColors val="0"/>
        <c:ser>
          <c:idx val="0"/>
          <c:order val="0"/>
          <c:tx>
            <c:strRef>
              <c:f>'Table user'!$B$31:$B$32</c:f>
              <c:strCache>
                <c:ptCount val="1"/>
                <c:pt idx="0">
                  <c:v>U1 Power and heat</c:v>
                </c:pt>
              </c:strCache>
            </c:strRef>
          </c:tx>
          <c:spPr>
            <a:gradFill rotWithShape="1">
              <a:gsLst>
                <a:gs pos="0">
                  <a:srgbClr val="FF0000"/>
                </a:gs>
                <a:gs pos="100000">
                  <a:srgbClr val="0000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'Table user'!$A$33:$A$34</c:f>
              <c:strCache/>
            </c:strRef>
          </c:cat>
          <c:val>
            <c:numRef>
              <c:f>'Table user'!$B$33:$B$34</c:f>
              <c:numCache>
                <c:ptCount val="2"/>
                <c:pt idx="0">
                  <c:v>81761.91132096054</c:v>
                </c:pt>
                <c:pt idx="1">
                  <c:v>20401.616223950234</c:v>
                </c:pt>
              </c:numCache>
            </c:numRef>
          </c:val>
        </c:ser>
        <c:ser>
          <c:idx val="1"/>
          <c:order val="1"/>
          <c:tx>
            <c:strRef>
              <c:f>'Table user'!$C$31:$C$32</c:f>
              <c:strCache>
                <c:ptCount val="1"/>
                <c:pt idx="0">
                  <c:v>U2 Industrial</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user'!$A$33:$A$34</c:f>
              <c:strCache/>
            </c:strRef>
          </c:cat>
          <c:val>
            <c:numRef>
              <c:f>'Table user'!$C$33:$C$34</c:f>
              <c:numCache>
                <c:ptCount val="2"/>
                <c:pt idx="0">
                  <c:v>87469.52418322556</c:v>
                </c:pt>
                <c:pt idx="1">
                  <c:v>24178</c:v>
                </c:pt>
              </c:numCache>
            </c:numRef>
          </c:val>
        </c:ser>
        <c:ser>
          <c:idx val="2"/>
          <c:order val="2"/>
          <c:tx>
            <c:strRef>
              <c:f>'Table user'!$D$31:$D$32</c:f>
              <c:strCache>
                <c:ptCount val="1"/>
                <c:pt idx="0">
                  <c:v>U3 Private households</c:v>
                </c:pt>
              </c:strCache>
            </c:strRef>
          </c:tx>
          <c:spPr>
            <a:pattFill prst="horzBrick">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 user'!$A$33:$A$34</c:f>
              <c:strCache/>
            </c:strRef>
          </c:cat>
          <c:val>
            <c:numRef>
              <c:f>'Table user'!$D$33:$D$34</c:f>
              <c:numCache>
                <c:ptCount val="2"/>
                <c:pt idx="0">
                  <c:v>43243.537676249995</c:v>
                </c:pt>
                <c:pt idx="1">
                  <c:v>3230</c:v>
                </c:pt>
              </c:numCache>
            </c:numRef>
          </c:val>
        </c:ser>
        <c:overlap val="100"/>
        <c:axId val="18761356"/>
        <c:axId val="34634477"/>
      </c:barChart>
      <c:catAx>
        <c:axId val="18761356"/>
        <c:scaling>
          <c:orientation val="minMax"/>
        </c:scaling>
        <c:axPos val="b"/>
        <c:delete val="0"/>
        <c:numFmt formatCode="General" sourceLinked="1"/>
        <c:majorTickMark val="out"/>
        <c:minorTickMark val="none"/>
        <c:tickLblPos val="nextTo"/>
        <c:txPr>
          <a:bodyPr vert="horz" rot="-5400000"/>
          <a:lstStyle/>
          <a:p>
            <a:pPr>
              <a:defRPr lang="en-US" cap="none" sz="1350" b="0" i="0" u="none" baseline="0">
                <a:latin typeface="Arial"/>
                <a:ea typeface="Arial"/>
                <a:cs typeface="Arial"/>
              </a:defRPr>
            </a:pPr>
          </a:p>
        </c:txPr>
        <c:crossAx val="34634477"/>
        <c:crosses val="autoZero"/>
        <c:auto val="1"/>
        <c:lblOffset val="100"/>
        <c:noMultiLvlLbl val="0"/>
      </c:catAx>
      <c:valAx>
        <c:axId val="34634477"/>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18761356"/>
        <c:crossesAt val="1"/>
        <c:crossBetween val="between"/>
        <c:dispUnits>
          <c:builtInUnit val="thousands"/>
        </c:dispUnits>
      </c:valAx>
      <c:spPr>
        <a:solidFill>
          <a:srgbClr val="C0C0C0"/>
        </a:solidFill>
        <a:ln w="12700">
          <a:solidFill>
            <a:srgbClr val="808080"/>
          </a:solidFill>
        </a:ln>
      </c:spPr>
    </c:plotArea>
    <c:plotVisOnly val="1"/>
    <c:dispBlanksAs val="gap"/>
    <c:showDLblsOverMax val="0"/>
  </c:chart>
  <c:spPr>
    <a:ln w="3175">
      <a:noFill/>
    </a:ln>
  </c:spPr>
  <c:txPr>
    <a:bodyPr vert="horz" rot="0"/>
    <a:lstStyle/>
    <a:p>
      <a:pPr>
        <a:defRPr lang="en-US" cap="none" sz="3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Wood energy's role for the Total Primary Energy Supply (TPES)</a:t>
            </a:r>
          </a:p>
        </c:rich>
      </c:tx>
      <c:layout/>
      <c:spPr>
        <a:noFill/>
        <a:ln>
          <a:noFill/>
        </a:ln>
      </c:spPr>
    </c:title>
    <c:plotArea>
      <c:layout>
        <c:manualLayout>
          <c:xMode val="edge"/>
          <c:yMode val="edge"/>
          <c:x val="0.0205"/>
          <c:y val="0.1005"/>
          <c:w val="0.959"/>
          <c:h val="0.8995"/>
        </c:manualLayout>
      </c:layout>
      <c:barChart>
        <c:barDir val="col"/>
        <c:grouping val="clustered"/>
        <c:varyColors val="0"/>
        <c:ser>
          <c:idx val="0"/>
          <c:order val="0"/>
          <c:tx>
            <c:strRef>
              <c:f>'Wood Energy vs TPES'!$B$32</c:f>
              <c:strCache>
                <c:ptCount val="1"/>
                <c:pt idx="0">
                  <c:v>Wood energy's role for the Total Primary Energy Supply (TPES)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'Wood Energy vs TPES'!$B$33:$B$46</c:f>
              <c:strCache/>
            </c:strRef>
          </c:cat>
          <c:val>
            <c:numRef>
              <c:f>'Wood Energy vs TPES'!$C$33:$C$46</c:f>
              <c:numCache>
                <c:ptCount val="14"/>
                <c:pt idx="0">
                  <c:v>0.0014327104283452438</c:v>
                </c:pt>
                <c:pt idx="1">
                  <c:v>0.005118953134510043</c:v>
                </c:pt>
                <c:pt idx="2">
                  <c:v>0.018641531433168605</c:v>
                </c:pt>
                <c:pt idx="3">
                  <c:v>0.01957980353829006</c:v>
                </c:pt>
                <c:pt idx="4">
                  <c:v>0.029900835139452023</c:v>
                </c:pt>
                <c:pt idx="5">
                  <c:v>0.032141914669565765</c:v>
                </c:pt>
                <c:pt idx="6">
                  <c:v>0.037372992166337216</c:v>
                </c:pt>
                <c:pt idx="7">
                  <c:v>0.038086580229201514</c:v>
                </c:pt>
                <c:pt idx="8">
                  <c:v>0.044732590985779704</c:v>
                </c:pt>
                <c:pt idx="9">
                  <c:v>0.06617133626220363</c:v>
                </c:pt>
                <c:pt idx="10">
                  <c:v>0.07507843959243087</c:v>
                </c:pt>
                <c:pt idx="11">
                  <c:v>0.09326933636034951</c:v>
                </c:pt>
                <c:pt idx="12">
                  <c:v>0.15646690458534174</c:v>
                </c:pt>
                <c:pt idx="13">
                  <c:v>0.18520280914760778</c:v>
                </c:pt>
              </c:numCache>
            </c:numRef>
          </c:val>
        </c:ser>
        <c:gapWidth val="50"/>
        <c:axId val="43274838"/>
        <c:axId val="53929223"/>
      </c:barChart>
      <c:catAx>
        <c:axId val="43274838"/>
        <c:scaling>
          <c:orientation val="minMax"/>
        </c:scaling>
        <c:axPos val="b"/>
        <c:delete val="0"/>
        <c:numFmt formatCode="@" sourceLinked="0"/>
        <c:majorTickMark val="out"/>
        <c:minorTickMark val="none"/>
        <c:tickLblPos val="nextTo"/>
        <c:txPr>
          <a:bodyPr vert="horz" rot="-5400000"/>
          <a:lstStyle/>
          <a:p>
            <a:pPr>
              <a:defRPr lang="en-US" cap="none" sz="1325" b="0" i="0" u="none" baseline="0">
                <a:latin typeface="Arial"/>
                <a:ea typeface="Arial"/>
                <a:cs typeface="Arial"/>
              </a:defRPr>
            </a:pPr>
          </a:p>
        </c:txPr>
        <c:crossAx val="53929223"/>
        <c:crosses val="autoZero"/>
        <c:auto val="1"/>
        <c:lblOffset val="100"/>
        <c:tickLblSkip val="1"/>
        <c:noMultiLvlLbl val="0"/>
      </c:catAx>
      <c:valAx>
        <c:axId val="53929223"/>
        <c:scaling>
          <c:orientation val="minMax"/>
        </c:scaling>
        <c:axPos val="l"/>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43274838"/>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2000" b="1" i="0" u="none" baseline="0">
                <a:latin typeface="Arial"/>
                <a:ea typeface="Arial"/>
                <a:cs typeface="Arial"/>
              </a:rPr>
              <a:t>Role of wood energy in 
Total Primary Energy Supply</a:t>
            </a:r>
          </a:p>
        </c:rich>
      </c:tx>
      <c:layout>
        <c:manualLayout>
          <c:xMode val="factor"/>
          <c:yMode val="factor"/>
          <c:x val="-0.171"/>
          <c:y val="-0.01925"/>
        </c:manualLayout>
      </c:layout>
      <c:spPr>
        <a:noFill/>
        <a:ln>
          <a:noFill/>
        </a:ln>
      </c:spPr>
    </c:title>
    <c:plotArea>
      <c:layout>
        <c:manualLayout>
          <c:xMode val="edge"/>
          <c:yMode val="edge"/>
          <c:x val="0.012"/>
          <c:y val="0.234"/>
          <c:w val="0.988"/>
          <c:h val="0.766"/>
        </c:manualLayout>
      </c:layout>
      <c:barChart>
        <c:barDir val="bar"/>
        <c:grouping val="clustered"/>
        <c:varyColors val="0"/>
        <c:ser>
          <c:idx val="0"/>
          <c:order val="0"/>
          <c:tx>
            <c:strRef>
              <c:f>'Wood Energy vs TPES'!$B$32</c:f>
              <c:strCache>
                <c:ptCount val="1"/>
                <c:pt idx="0">
                  <c:v>Wood energy's role for the Total Primary Energy Supply (TPES)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'Wood Energy vs TPES'!$B$33:$B$46</c:f>
              <c:strCache/>
            </c:strRef>
          </c:cat>
          <c:val>
            <c:numRef>
              <c:f>'Wood Energy vs TPES'!$C$33:$C$46</c:f>
              <c:numCache>
                <c:ptCount val="14"/>
                <c:pt idx="0">
                  <c:v>0.0014327104283452438</c:v>
                </c:pt>
                <c:pt idx="1">
                  <c:v>0.005118953134510043</c:v>
                </c:pt>
                <c:pt idx="2">
                  <c:v>0.018641531433168605</c:v>
                </c:pt>
                <c:pt idx="3">
                  <c:v>0.01957980353829006</c:v>
                </c:pt>
                <c:pt idx="4">
                  <c:v>0.029900835139452023</c:v>
                </c:pt>
                <c:pt idx="5">
                  <c:v>0.032141914669565765</c:v>
                </c:pt>
                <c:pt idx="6">
                  <c:v>0.037372992166337216</c:v>
                </c:pt>
                <c:pt idx="7">
                  <c:v>0.038086580229201514</c:v>
                </c:pt>
                <c:pt idx="8">
                  <c:v>0.044732590985779704</c:v>
                </c:pt>
                <c:pt idx="9">
                  <c:v>0.06617133626220363</c:v>
                </c:pt>
                <c:pt idx="10">
                  <c:v>0.07507843959243087</c:v>
                </c:pt>
                <c:pt idx="11">
                  <c:v>0.09326933636034951</c:v>
                </c:pt>
                <c:pt idx="12">
                  <c:v>0.15646690458534174</c:v>
                </c:pt>
                <c:pt idx="13">
                  <c:v>0.18520280914760778</c:v>
                </c:pt>
              </c:numCache>
            </c:numRef>
          </c:val>
        </c:ser>
        <c:gapWidth val="50"/>
        <c:axId val="15600960"/>
        <c:axId val="6190913"/>
      </c:barChart>
      <c:catAx>
        <c:axId val="15600960"/>
        <c:scaling>
          <c:orientation val="minMax"/>
        </c:scaling>
        <c:axPos val="l"/>
        <c:delete val="0"/>
        <c:numFmt formatCode="@" sourceLinked="0"/>
        <c:majorTickMark val="out"/>
        <c:minorTickMark val="none"/>
        <c:tickLblPos val="nextTo"/>
        <c:spPr>
          <a:ln w="3175">
            <a:noFill/>
          </a:ln>
        </c:spPr>
        <c:txPr>
          <a:bodyPr vert="horz" rot="0"/>
          <a:lstStyle/>
          <a:p>
            <a:pPr>
              <a:defRPr lang="en-US" cap="none" sz="1400" b="0" i="0" u="none" baseline="0">
                <a:latin typeface="Arial"/>
                <a:ea typeface="Arial"/>
                <a:cs typeface="Arial"/>
              </a:defRPr>
            </a:pPr>
          </a:p>
        </c:txPr>
        <c:crossAx val="6190913"/>
        <c:crosses val="autoZero"/>
        <c:auto val="1"/>
        <c:lblOffset val="100"/>
        <c:tickLblSkip val="1"/>
        <c:noMultiLvlLbl val="0"/>
      </c:catAx>
      <c:valAx>
        <c:axId val="6190913"/>
        <c:scaling>
          <c:orientation val="minMax"/>
          <c:max val="0.2"/>
          <c:min val="0"/>
        </c:scaling>
        <c:axPos val="b"/>
        <c:majorGridlines/>
        <c:delete val="0"/>
        <c:numFmt formatCode="0%" sourceLinked="0"/>
        <c:majorTickMark val="out"/>
        <c:minorTickMark val="none"/>
        <c:tickLblPos val="nextTo"/>
        <c:spPr>
          <a:ln w="3175">
            <a:noFill/>
          </a:ln>
        </c:spPr>
        <c:txPr>
          <a:bodyPr/>
          <a:lstStyle/>
          <a:p>
            <a:pPr>
              <a:defRPr lang="en-US" cap="none" sz="1475" b="0" i="0" u="none" baseline="0">
                <a:latin typeface="Arial"/>
                <a:ea typeface="Arial"/>
                <a:cs typeface="Arial"/>
              </a:defRPr>
            </a:pPr>
          </a:p>
        </c:txPr>
        <c:crossAx val="15600960"/>
        <c:crossesAt val="1"/>
        <c:crossBetween val="between"/>
        <c:dispUnits/>
        <c:majorUnit val="0.03"/>
        <c:minorUnit val="0.004"/>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27</xdr:row>
      <xdr:rowOff>0</xdr:rowOff>
    </xdr:from>
    <xdr:to>
      <xdr:col>11</xdr:col>
      <xdr:colOff>266700</xdr:colOff>
      <xdr:row>84</xdr:row>
      <xdr:rowOff>323850</xdr:rowOff>
    </xdr:to>
    <xdr:sp>
      <xdr:nvSpPr>
        <xdr:cNvPr id="1" name="Rectangle 7"/>
        <xdr:cNvSpPr>
          <a:spLocks/>
        </xdr:cNvSpPr>
      </xdr:nvSpPr>
      <xdr:spPr>
        <a:xfrm>
          <a:off x="1028700" y="5362575"/>
          <a:ext cx="10429875" cy="14811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58</xdr:row>
      <xdr:rowOff>19050</xdr:rowOff>
    </xdr:from>
    <xdr:to>
      <xdr:col>10</xdr:col>
      <xdr:colOff>742950</xdr:colOff>
      <xdr:row>84</xdr:row>
      <xdr:rowOff>47625</xdr:rowOff>
    </xdr:to>
    <xdr:sp>
      <xdr:nvSpPr>
        <xdr:cNvPr id="2" name="Rectangle 5"/>
        <xdr:cNvSpPr>
          <a:spLocks/>
        </xdr:cNvSpPr>
      </xdr:nvSpPr>
      <xdr:spPr>
        <a:xfrm>
          <a:off x="1619250" y="15659100"/>
          <a:ext cx="9572625" cy="4238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361950</xdr:colOff>
      <xdr:row>59</xdr:row>
      <xdr:rowOff>0</xdr:rowOff>
    </xdr:from>
    <xdr:to>
      <xdr:col>9</xdr:col>
      <xdr:colOff>1019175</xdr:colOff>
      <xdr:row>83</xdr:row>
      <xdr:rowOff>114300</xdr:rowOff>
    </xdr:to>
    <xdr:grpSp>
      <xdr:nvGrpSpPr>
        <xdr:cNvPr id="3" name="Group 8"/>
        <xdr:cNvGrpSpPr>
          <a:grpSpLocks/>
        </xdr:cNvGrpSpPr>
      </xdr:nvGrpSpPr>
      <xdr:grpSpPr>
        <a:xfrm>
          <a:off x="1714500" y="15801975"/>
          <a:ext cx="9401175" cy="4000500"/>
          <a:chOff x="180" y="1649"/>
          <a:chExt cx="1060" cy="420"/>
        </a:xfrm>
        <a:solidFill>
          <a:srgbClr val="FFFFFF"/>
        </a:solidFill>
      </xdr:grpSpPr>
      <xdr:graphicFrame>
        <xdr:nvGraphicFramePr>
          <xdr:cNvPr id="4" name="Chart 1"/>
          <xdr:cNvGraphicFramePr/>
        </xdr:nvGraphicFramePr>
        <xdr:xfrm>
          <a:off x="180" y="1649"/>
          <a:ext cx="529" cy="420"/>
        </xdr:xfrm>
        <a:graphic>
          <a:graphicData uri="http://schemas.openxmlformats.org/drawingml/2006/chart">
            <c:chart xmlns:c="http://schemas.openxmlformats.org/drawingml/2006/chart" r:id="rId1"/>
          </a:graphicData>
        </a:graphic>
      </xdr:graphicFrame>
      <xdr:graphicFrame>
        <xdr:nvGraphicFramePr>
          <xdr:cNvPr id="5" name="Chart 2"/>
          <xdr:cNvGraphicFramePr/>
        </xdr:nvGraphicFramePr>
        <xdr:xfrm>
          <a:off x="708" y="1649"/>
          <a:ext cx="532" cy="420"/>
        </xdr:xfrm>
        <a:graphic>
          <a:graphicData uri="http://schemas.openxmlformats.org/drawingml/2006/chart">
            <c:chart xmlns:c="http://schemas.openxmlformats.org/drawingml/2006/chart" r:id="rId2"/>
          </a:graphicData>
        </a:graphic>
      </xdr:graphicFrame>
      <xdr:sp>
        <xdr:nvSpPr>
          <xdr:cNvPr id="6" name="AutoShape 3"/>
          <xdr:cNvSpPr>
            <a:spLocks/>
          </xdr:cNvSpPr>
        </xdr:nvSpPr>
        <xdr:spPr>
          <a:xfrm>
            <a:off x="716" y="1813"/>
            <a:ext cx="104" cy="103"/>
          </a:xfrm>
          <a:prstGeom prst="rightArrow">
            <a:avLst/>
          </a:prstGeom>
          <a:gradFill rotWithShape="1">
            <a:gsLst>
              <a:gs pos="0">
                <a:srgbClr val="FF0000"/>
              </a:gs>
              <a:gs pos="100000">
                <a:srgbClr val="000000"/>
              </a:gs>
            </a:gsLst>
            <a:lin ang="5400000" scaled="1"/>
          </a:grad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1409700</xdr:colOff>
      <xdr:row>0</xdr:row>
      <xdr:rowOff>0</xdr:rowOff>
    </xdr:from>
    <xdr:to>
      <xdr:col>13</xdr:col>
      <xdr:colOff>676275</xdr:colOff>
      <xdr:row>6</xdr:row>
      <xdr:rowOff>19050</xdr:rowOff>
    </xdr:to>
    <xdr:sp>
      <xdr:nvSpPr>
        <xdr:cNvPr id="7" name="AutoShape 10"/>
        <xdr:cNvSpPr>
          <a:spLocks/>
        </xdr:cNvSpPr>
      </xdr:nvSpPr>
      <xdr:spPr>
        <a:xfrm>
          <a:off x="3533775" y="0"/>
          <a:ext cx="8896350" cy="1352550"/>
        </a:xfrm>
        <a:prstGeom prst="leftArrow">
          <a:avLst/>
        </a:prstGeom>
        <a:solidFill>
          <a:srgbClr val="FFCC00"/>
        </a:solidFill>
        <a:ln w="9525" cmpd="sng">
          <a:solidFill>
            <a:srgbClr val="000000"/>
          </a:solidFill>
          <a:headEnd type="none"/>
          <a:tailEnd type="none"/>
        </a:ln>
      </xdr:spPr>
      <xdr:txBody>
        <a:bodyPr vertOverflow="clip" wrap="square"/>
        <a:p>
          <a:pPr algn="l">
            <a:defRPr/>
          </a:pPr>
          <a:r>
            <a:rPr lang="en-US" cap="none" sz="1800" b="1" i="0" u="none" baseline="0">
              <a:latin typeface="Arial"/>
              <a:ea typeface="Arial"/>
              <a:cs typeface="Arial"/>
            </a:rPr>
            <a:t>Please click on cell `C3`and choose a country or subregion. All information will then be provided automatically, below.</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006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705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08635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0006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705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48291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578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4578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9531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701992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152400</xdr:rowOff>
    </xdr:from>
    <xdr:to>
      <xdr:col>6</xdr:col>
      <xdr:colOff>304800</xdr:colOff>
      <xdr:row>29</xdr:row>
      <xdr:rowOff>57150</xdr:rowOff>
    </xdr:to>
    <xdr:graphicFrame>
      <xdr:nvGraphicFramePr>
        <xdr:cNvPr id="1" name="Chart 3"/>
        <xdr:cNvGraphicFramePr/>
      </xdr:nvGraphicFramePr>
      <xdr:xfrm>
        <a:off x="0" y="152400"/>
        <a:ext cx="5743575" cy="5343525"/>
      </xdr:xfrm>
      <a:graphic>
        <a:graphicData uri="http://schemas.openxmlformats.org/drawingml/2006/chart">
          <c:chart xmlns:c="http://schemas.openxmlformats.org/drawingml/2006/chart" r:id="rId1"/>
        </a:graphicData>
      </a:graphic>
    </xdr:graphicFrame>
    <xdr:clientData/>
  </xdr:twoCellAnchor>
  <xdr:twoCellAnchor>
    <xdr:from>
      <xdr:col>6</xdr:col>
      <xdr:colOff>314325</xdr:colOff>
      <xdr:row>0</xdr:row>
      <xdr:rowOff>152400</xdr:rowOff>
    </xdr:from>
    <xdr:to>
      <xdr:col>8</xdr:col>
      <xdr:colOff>676275</xdr:colOff>
      <xdr:row>29</xdr:row>
      <xdr:rowOff>47625</xdr:rowOff>
    </xdr:to>
    <xdr:graphicFrame>
      <xdr:nvGraphicFramePr>
        <xdr:cNvPr id="2" name="Chart 4"/>
        <xdr:cNvGraphicFramePr/>
      </xdr:nvGraphicFramePr>
      <xdr:xfrm>
        <a:off x="5753100" y="152400"/>
        <a:ext cx="1885950" cy="5334000"/>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60</xdr:row>
      <xdr:rowOff>0</xdr:rowOff>
    </xdr:from>
    <xdr:to>
      <xdr:col>14</xdr:col>
      <xdr:colOff>485775</xdr:colOff>
      <xdr:row>97</xdr:row>
      <xdr:rowOff>9525</xdr:rowOff>
    </xdr:to>
    <xdr:graphicFrame>
      <xdr:nvGraphicFramePr>
        <xdr:cNvPr id="3" name="Chart 5"/>
        <xdr:cNvGraphicFramePr/>
      </xdr:nvGraphicFramePr>
      <xdr:xfrm>
        <a:off x="6200775" y="10715625"/>
        <a:ext cx="7829550" cy="60007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7</xdr:col>
      <xdr:colOff>476250</xdr:colOff>
      <xdr:row>28</xdr:row>
      <xdr:rowOff>390525</xdr:rowOff>
    </xdr:to>
    <xdr:graphicFrame>
      <xdr:nvGraphicFramePr>
        <xdr:cNvPr id="1" name="Chart 2"/>
        <xdr:cNvGraphicFramePr/>
      </xdr:nvGraphicFramePr>
      <xdr:xfrm>
        <a:off x="0" y="161925"/>
        <a:ext cx="5810250" cy="4762500"/>
      </xdr:xfrm>
      <a:graphic>
        <a:graphicData uri="http://schemas.openxmlformats.org/drawingml/2006/chart">
          <c:chart xmlns:c="http://schemas.openxmlformats.org/drawingml/2006/chart" r:id="rId1"/>
        </a:graphicData>
      </a:graphic>
    </xdr:graphicFrame>
    <xdr:clientData/>
  </xdr:twoCellAnchor>
  <xdr:twoCellAnchor>
    <xdr:from>
      <xdr:col>7</xdr:col>
      <xdr:colOff>381000</xdr:colOff>
      <xdr:row>1</xdr:row>
      <xdr:rowOff>0</xdr:rowOff>
    </xdr:from>
    <xdr:to>
      <xdr:col>9</xdr:col>
      <xdr:colOff>704850</xdr:colOff>
      <xdr:row>29</xdr:row>
      <xdr:rowOff>0</xdr:rowOff>
    </xdr:to>
    <xdr:graphicFrame>
      <xdr:nvGraphicFramePr>
        <xdr:cNvPr id="2" name="Chart 3"/>
        <xdr:cNvGraphicFramePr/>
      </xdr:nvGraphicFramePr>
      <xdr:xfrm>
        <a:off x="5715000" y="161925"/>
        <a:ext cx="1847850" cy="47625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51</xdr:row>
      <xdr:rowOff>95250</xdr:rowOff>
    </xdr:from>
    <xdr:to>
      <xdr:col>6</xdr:col>
      <xdr:colOff>352425</xdr:colOff>
      <xdr:row>82</xdr:row>
      <xdr:rowOff>104775</xdr:rowOff>
    </xdr:to>
    <xdr:graphicFrame>
      <xdr:nvGraphicFramePr>
        <xdr:cNvPr id="1" name="Chart 1"/>
        <xdr:cNvGraphicFramePr/>
      </xdr:nvGraphicFramePr>
      <xdr:xfrm>
        <a:off x="1057275" y="8429625"/>
        <a:ext cx="4733925" cy="50292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7</xdr:col>
      <xdr:colOff>238125</xdr:colOff>
      <xdr:row>28</xdr:row>
      <xdr:rowOff>152400</xdr:rowOff>
    </xdr:to>
    <xdr:graphicFrame>
      <xdr:nvGraphicFramePr>
        <xdr:cNvPr id="2" name="Chart 2"/>
        <xdr:cNvGraphicFramePr/>
      </xdr:nvGraphicFramePr>
      <xdr:xfrm>
        <a:off x="0" y="0"/>
        <a:ext cx="6438900" cy="46863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3880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3880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49434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514975"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0</xdr:row>
      <xdr:rowOff>28575</xdr:rowOff>
    </xdr:from>
    <xdr:to>
      <xdr:col>12</xdr:col>
      <xdr:colOff>333375</xdr:colOff>
      <xdr:row>2</xdr:row>
      <xdr:rowOff>0</xdr:rowOff>
    </xdr:to>
    <xdr:grpSp>
      <xdr:nvGrpSpPr>
        <xdr:cNvPr id="1" name="Group 1"/>
        <xdr:cNvGrpSpPr>
          <a:grpSpLocks/>
        </xdr:cNvGrpSpPr>
      </xdr:nvGrpSpPr>
      <xdr:grpSpPr>
        <a:xfrm>
          <a:off x="1638300" y="28575"/>
          <a:ext cx="5619750" cy="1000125"/>
          <a:chOff x="196" y="3"/>
          <a:chExt cx="505" cy="104"/>
        </a:xfrm>
        <a:solidFill>
          <a:srgbClr val="FFFFFF"/>
        </a:solidFill>
      </xdr:grpSpPr>
      <xdr:grpSp>
        <xdr:nvGrpSpPr>
          <xdr:cNvPr id="2" name="Group 2"/>
          <xdr:cNvGrpSpPr>
            <a:grpSpLocks/>
          </xdr:cNvGrpSpPr>
        </xdr:nvGrpSpPr>
        <xdr:grpSpPr>
          <a:xfrm>
            <a:off x="196" y="3"/>
            <a:ext cx="361" cy="104"/>
            <a:chOff x="120" y="10"/>
            <a:chExt cx="374" cy="104"/>
          </a:xfrm>
          <a:solidFill>
            <a:srgbClr val="FFFFFF"/>
          </a:solidFill>
        </xdr:grpSpPr>
        <xdr:pic>
          <xdr:nvPicPr>
            <xdr:cNvPr id="3" name="Picture 3"/>
            <xdr:cNvPicPr preferRelativeResize="1">
              <a:picLocks noChangeAspect="1"/>
            </xdr:cNvPicPr>
          </xdr:nvPicPr>
          <xdr:blipFill>
            <a:blip r:embed="rId1"/>
            <a:stretch>
              <a:fillRect/>
            </a:stretch>
          </xdr:blipFill>
          <xdr:spPr>
            <a:xfrm>
              <a:off x="276" y="18"/>
              <a:ext cx="93" cy="91"/>
            </a:xfrm>
            <a:prstGeom prst="rect">
              <a:avLst/>
            </a:prstGeom>
            <a:noFill/>
            <a:ln w="9525" cmpd="sng">
              <a:noFill/>
            </a:ln>
          </xdr:spPr>
        </xdr:pic>
        <xdr:pic>
          <xdr:nvPicPr>
            <xdr:cNvPr id="4" name="Picture 4"/>
            <xdr:cNvPicPr preferRelativeResize="1">
              <a:picLocks noChangeAspect="1"/>
            </xdr:cNvPicPr>
          </xdr:nvPicPr>
          <xdr:blipFill>
            <a:blip r:embed="rId2"/>
            <a:stretch>
              <a:fillRect/>
            </a:stretch>
          </xdr:blipFill>
          <xdr:spPr>
            <a:xfrm>
              <a:off x="120" y="10"/>
              <a:ext cx="116" cy="104"/>
            </a:xfrm>
            <a:prstGeom prst="rect">
              <a:avLst/>
            </a:prstGeom>
            <a:noFill/>
            <a:ln w="9525" cmpd="sng">
              <a:noFill/>
            </a:ln>
          </xdr:spPr>
        </xdr:pic>
        <xdr:pic>
          <xdr:nvPicPr>
            <xdr:cNvPr id="5" name="Picture 5"/>
            <xdr:cNvPicPr preferRelativeResize="1">
              <a:picLocks noChangeAspect="1"/>
            </xdr:cNvPicPr>
          </xdr:nvPicPr>
          <xdr:blipFill>
            <a:blip r:embed="rId3"/>
            <a:srcRect r="52841" b="58511"/>
            <a:stretch>
              <a:fillRect/>
            </a:stretch>
          </xdr:blipFill>
          <xdr:spPr>
            <a:xfrm>
              <a:off x="421" y="19"/>
              <a:ext cx="73" cy="91"/>
            </a:xfrm>
            <a:prstGeom prst="rect">
              <a:avLst/>
            </a:prstGeom>
            <a:noFill/>
            <a:ln w="9525" cmpd="sng">
              <a:noFill/>
            </a:ln>
          </xdr:spPr>
        </xdr:pic>
      </xdr:grpSp>
      <xdr:pic>
        <xdr:nvPicPr>
          <xdr:cNvPr id="6" name="Picture 6"/>
          <xdr:cNvPicPr preferRelativeResize="1">
            <a:picLocks noChangeAspect="1"/>
          </xdr:cNvPicPr>
        </xdr:nvPicPr>
        <xdr:blipFill>
          <a:blip r:embed="rId4"/>
          <a:stretch>
            <a:fillRect/>
          </a:stretch>
        </xdr:blipFill>
        <xdr:spPr>
          <a:xfrm>
            <a:off x="591" y="20"/>
            <a:ext cx="110" cy="73"/>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McCusker\LOCALS~1\Temp\notesE1EF34\Mappe2%20for%20Ale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2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drawing" Target="../drawings/drawing7.xml" /><Relationship Id="rId4"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3.vml" /><Relationship Id="rId3" Type="http://schemas.openxmlformats.org/officeDocument/2006/relationships/drawing" Target="../drawings/drawing9.xml" /><Relationship Id="rId4"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5.vml" /><Relationship Id="rId3" Type="http://schemas.openxmlformats.org/officeDocument/2006/relationships/drawing" Target="../drawings/drawing11.xml" /><Relationship Id="rId4"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6.vml" /><Relationship Id="rId3" Type="http://schemas.openxmlformats.org/officeDocument/2006/relationships/drawing" Target="../drawings/drawing12.xml" /><Relationship Id="rId4"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7.vml" /><Relationship Id="rId3" Type="http://schemas.openxmlformats.org/officeDocument/2006/relationships/drawing" Target="../drawings/drawing13.xml" /><Relationship Id="rId4"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8.vml" /><Relationship Id="rId3" Type="http://schemas.openxmlformats.org/officeDocument/2006/relationships/drawing" Target="../drawings/drawing14.xml" /><Relationship Id="rId4"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drawing" Target="../drawings/drawing15.xml" /><Relationship Id="rId4"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drawing" Target="../drawings/drawing16.xml" /><Relationship Id="rId4"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drawing" Target="../drawings/drawing17.xml" /><Relationship Id="rId4" Type="http://schemas.openxmlformats.org/officeDocument/2006/relationships/printerSettings" Target="../printerSettings/printerSettings1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12.vml" /><Relationship Id="rId3" Type="http://schemas.openxmlformats.org/officeDocument/2006/relationships/drawing" Target="../drawings/drawing18.xml" /><Relationship Id="rId4" Type="http://schemas.openxmlformats.org/officeDocument/2006/relationships/printerSettings" Target="../printerSettings/printerSettings21.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13.vml" /><Relationship Id="rId3" Type="http://schemas.openxmlformats.org/officeDocument/2006/relationships/drawing" Target="../drawings/drawing19.xml" /><Relationship Id="rId4"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J38"/>
  <sheetViews>
    <sheetView tabSelected="1" workbookViewId="0" topLeftCell="A1">
      <selection activeCell="A1" sqref="A1"/>
    </sheetView>
  </sheetViews>
  <sheetFormatPr defaultColWidth="9.140625" defaultRowHeight="12.75"/>
  <cols>
    <col min="1" max="1" width="24.28125" style="0" customWidth="1"/>
    <col min="2" max="2" width="32.00390625" style="0" customWidth="1"/>
    <col min="3" max="3" width="15.57421875" style="0" customWidth="1"/>
    <col min="4" max="4" width="7.421875" style="0" customWidth="1"/>
    <col min="5" max="8" width="11.421875" style="0" customWidth="1"/>
    <col min="9" max="9" width="6.140625" style="0" customWidth="1"/>
    <col min="10" max="10" width="4.140625" style="0" hidden="1" customWidth="1"/>
    <col min="11" max="16384" width="11.421875" style="0" customWidth="1"/>
  </cols>
  <sheetData>
    <row r="2" spans="1:10" ht="37.5" customHeight="1">
      <c r="A2" s="1291" t="s">
        <v>532</v>
      </c>
      <c r="B2" s="1291"/>
      <c r="C2" s="1291"/>
      <c r="D2" s="1291"/>
      <c r="E2" s="1291"/>
      <c r="F2" s="1291"/>
      <c r="G2" s="1291"/>
      <c r="H2" s="1291"/>
      <c r="I2" s="1291"/>
      <c r="J2" s="1291"/>
    </row>
    <row r="4" ht="25.5" customHeight="1">
      <c r="A4" s="1273" t="s">
        <v>497</v>
      </c>
    </row>
    <row r="5" spans="1:9" ht="34.5" customHeight="1">
      <c r="A5" s="1275" t="s">
        <v>499</v>
      </c>
      <c r="B5" s="1271"/>
      <c r="C5" s="1288" t="s">
        <v>513</v>
      </c>
      <c r="D5" s="1288"/>
      <c r="E5" s="1288"/>
      <c r="F5" s="1288"/>
      <c r="G5" s="1288"/>
      <c r="H5" s="1288"/>
      <c r="I5" s="1288"/>
    </row>
    <row r="6" spans="1:10" ht="31.5" customHeight="1">
      <c r="A6" s="1272"/>
      <c r="B6" s="1274" t="s">
        <v>530</v>
      </c>
      <c r="C6" s="1287" t="s">
        <v>533</v>
      </c>
      <c r="D6" s="1287"/>
      <c r="E6" s="1287"/>
      <c r="F6" s="1287"/>
      <c r="G6" s="1287"/>
      <c r="H6" s="1287"/>
      <c r="I6" s="1287"/>
      <c r="J6" s="1287"/>
    </row>
    <row r="7" spans="1:10" s="1270" customFormat="1" ht="24.75" customHeight="1">
      <c r="A7" s="1273"/>
      <c r="B7" s="1274" t="s">
        <v>500</v>
      </c>
      <c r="C7" s="1287" t="s">
        <v>498</v>
      </c>
      <c r="D7" s="1287"/>
      <c r="E7" s="1287"/>
      <c r="F7" s="1287"/>
      <c r="G7" s="1287"/>
      <c r="H7" s="1287"/>
      <c r="I7" s="1287"/>
      <c r="J7" s="1287"/>
    </row>
    <row r="8" spans="1:10" s="1270" customFormat="1" ht="24.75" customHeight="1">
      <c r="A8" s="1273"/>
      <c r="B8" s="1274" t="s">
        <v>503</v>
      </c>
      <c r="C8" s="1287" t="s">
        <v>534</v>
      </c>
      <c r="D8" s="1287"/>
      <c r="E8" s="1287"/>
      <c r="F8" s="1287"/>
      <c r="G8" s="1287"/>
      <c r="H8" s="1287"/>
      <c r="I8" s="1287"/>
      <c r="J8" s="1287"/>
    </row>
    <row r="9" spans="1:10" s="1270" customFormat="1" ht="24.75" customHeight="1">
      <c r="A9" s="1273"/>
      <c r="B9" s="1274" t="s">
        <v>504</v>
      </c>
      <c r="C9" s="1287" t="s">
        <v>505</v>
      </c>
      <c r="D9" s="1287"/>
      <c r="E9" s="1287"/>
      <c r="F9" s="1287"/>
      <c r="G9" s="1287"/>
      <c r="H9" s="1287"/>
      <c r="I9" s="1287"/>
      <c r="J9" s="1287"/>
    </row>
    <row r="10" spans="1:10" s="1270" customFormat="1" ht="24.75" customHeight="1">
      <c r="A10" s="1273"/>
      <c r="B10" s="1274" t="s">
        <v>501</v>
      </c>
      <c r="C10" s="1287" t="s">
        <v>535</v>
      </c>
      <c r="D10" s="1287"/>
      <c r="E10" s="1287"/>
      <c r="F10" s="1287"/>
      <c r="G10" s="1287"/>
      <c r="H10" s="1287"/>
      <c r="I10" s="1287"/>
      <c r="J10" s="1287"/>
    </row>
    <row r="11" spans="1:10" s="1270" customFormat="1" ht="24.75" customHeight="1">
      <c r="A11" s="1273"/>
      <c r="B11" s="1274" t="s">
        <v>502</v>
      </c>
      <c r="C11" s="1287" t="s">
        <v>506</v>
      </c>
      <c r="D11" s="1287"/>
      <c r="E11" s="1287"/>
      <c r="F11" s="1287"/>
      <c r="G11" s="1287"/>
      <c r="H11" s="1287"/>
      <c r="I11" s="1287"/>
      <c r="J11" s="1287"/>
    </row>
    <row r="12" spans="1:10" s="1270" customFormat="1" ht="26.25" customHeight="1">
      <c r="A12" s="1273"/>
      <c r="B12" s="1274" t="s">
        <v>507</v>
      </c>
      <c r="C12" s="1287" t="s">
        <v>542</v>
      </c>
      <c r="D12" s="1287"/>
      <c r="E12" s="1287"/>
      <c r="F12" s="1287"/>
      <c r="G12" s="1287"/>
      <c r="H12" s="1287"/>
      <c r="I12" s="1287"/>
      <c r="J12" s="1287"/>
    </row>
    <row r="13" spans="1:10" ht="26.25" customHeight="1">
      <c r="A13" s="1272"/>
      <c r="B13" s="1274" t="s">
        <v>508</v>
      </c>
      <c r="C13" s="1287" t="s">
        <v>509</v>
      </c>
      <c r="D13" s="1287"/>
      <c r="E13" s="1287"/>
      <c r="F13" s="1287"/>
      <c r="G13" s="1287"/>
      <c r="H13" s="1287"/>
      <c r="I13" s="1287"/>
      <c r="J13" s="1287"/>
    </row>
    <row r="14" spans="1:10" ht="26.25" customHeight="1">
      <c r="A14" s="1272"/>
      <c r="B14" s="1274" t="s">
        <v>511</v>
      </c>
      <c r="C14" s="1287" t="s">
        <v>549</v>
      </c>
      <c r="D14" s="1287"/>
      <c r="E14" s="1287"/>
      <c r="F14" s="1287"/>
      <c r="G14" s="1287"/>
      <c r="H14" s="1287"/>
      <c r="I14" s="1287"/>
      <c r="J14" s="1247"/>
    </row>
    <row r="15" spans="1:9" ht="45" customHeight="1">
      <c r="A15" s="1276" t="s">
        <v>510</v>
      </c>
      <c r="B15" s="1278"/>
      <c r="C15" s="1289" t="s">
        <v>550</v>
      </c>
      <c r="D15" s="1289"/>
      <c r="E15" s="1289"/>
      <c r="F15" s="1289"/>
      <c r="G15" s="1289"/>
      <c r="H15" s="1289"/>
      <c r="I15" s="1289"/>
    </row>
    <row r="16" spans="1:2" ht="15.75">
      <c r="A16" s="1272"/>
      <c r="B16" s="347" t="s">
        <v>515</v>
      </c>
    </row>
    <row r="17" spans="1:3" ht="15.75">
      <c r="A17" s="1272"/>
      <c r="B17" s="347"/>
      <c r="C17" t="s">
        <v>240</v>
      </c>
    </row>
    <row r="18" spans="1:3" ht="15.75">
      <c r="A18" s="1272"/>
      <c r="B18" s="347"/>
      <c r="C18" t="s">
        <v>238</v>
      </c>
    </row>
    <row r="19" spans="1:3" ht="15.75">
      <c r="A19" s="1272"/>
      <c r="B19" s="347"/>
      <c r="C19" t="s">
        <v>242</v>
      </c>
    </row>
    <row r="20" spans="1:3" ht="15.75">
      <c r="A20" s="1272"/>
      <c r="B20" s="347"/>
      <c r="C20" t="s">
        <v>122</v>
      </c>
    </row>
    <row r="21" spans="1:3" ht="15.75">
      <c r="A21" s="1272"/>
      <c r="B21" s="347"/>
      <c r="C21" t="s">
        <v>239</v>
      </c>
    </row>
    <row r="22" spans="1:3" ht="15.75">
      <c r="A22" s="1272"/>
      <c r="B22" s="347"/>
      <c r="C22" t="s">
        <v>280</v>
      </c>
    </row>
    <row r="23" spans="1:3" ht="15.75">
      <c r="A23" s="1272"/>
      <c r="B23" s="347"/>
      <c r="C23" t="s">
        <v>284</v>
      </c>
    </row>
    <row r="24" spans="1:3" ht="15.75">
      <c r="A24" s="1272"/>
      <c r="B24" s="347"/>
      <c r="C24" t="s">
        <v>127</v>
      </c>
    </row>
    <row r="25" spans="1:3" ht="15.75">
      <c r="A25" s="1272"/>
      <c r="B25" s="347"/>
      <c r="C25" t="s">
        <v>281</v>
      </c>
    </row>
    <row r="26" spans="1:3" ht="15.75">
      <c r="A26" s="1272"/>
      <c r="B26" s="347"/>
      <c r="C26" t="s">
        <v>1</v>
      </c>
    </row>
    <row r="27" spans="1:3" ht="15.75">
      <c r="A27" s="1272"/>
      <c r="B27" s="347"/>
      <c r="C27" t="s">
        <v>271</v>
      </c>
    </row>
    <row r="28" spans="1:3" ht="15.75">
      <c r="A28" s="1272"/>
      <c r="B28" s="347"/>
      <c r="C28" t="s">
        <v>199</v>
      </c>
    </row>
    <row r="29" spans="1:2" ht="15.75">
      <c r="A29" s="1272"/>
      <c r="B29" s="347" t="s">
        <v>516</v>
      </c>
    </row>
    <row r="30" spans="1:3" ht="15.75">
      <c r="A30" s="1272"/>
      <c r="B30" s="347"/>
      <c r="C30" t="s">
        <v>256</v>
      </c>
    </row>
    <row r="31" spans="1:3" ht="15.75">
      <c r="A31" s="1272"/>
      <c r="B31" s="347"/>
      <c r="C31" t="s">
        <v>285</v>
      </c>
    </row>
    <row r="32" spans="1:9" ht="24.75" customHeight="1">
      <c r="A32" s="1277" t="s">
        <v>512</v>
      </c>
      <c r="B32" s="1279"/>
      <c r="C32" s="1290" t="s">
        <v>514</v>
      </c>
      <c r="D32" s="1290"/>
      <c r="E32" s="1290"/>
      <c r="F32" s="1290"/>
      <c r="G32" s="1290"/>
      <c r="H32" s="1290"/>
      <c r="I32" s="1290"/>
    </row>
    <row r="33" spans="2:9" ht="26.25" customHeight="1">
      <c r="B33" s="1274" t="s">
        <v>517</v>
      </c>
      <c r="C33" s="1287" t="s">
        <v>523</v>
      </c>
      <c r="D33" s="1287"/>
      <c r="E33" s="1287"/>
      <c r="F33" s="1287"/>
      <c r="G33" s="1287"/>
      <c r="H33" s="1287"/>
      <c r="I33" s="1287"/>
    </row>
    <row r="34" spans="2:9" ht="26.25" customHeight="1">
      <c r="B34" s="1274" t="s">
        <v>518</v>
      </c>
      <c r="C34" s="1287" t="s">
        <v>524</v>
      </c>
      <c r="D34" s="1287"/>
      <c r="E34" s="1287"/>
      <c r="F34" s="1287"/>
      <c r="G34" s="1287"/>
      <c r="H34" s="1287"/>
      <c r="I34" s="1287"/>
    </row>
    <row r="35" spans="2:9" ht="26.25" customHeight="1">
      <c r="B35" s="1274" t="s">
        <v>519</v>
      </c>
      <c r="C35" s="1287" t="s">
        <v>525</v>
      </c>
      <c r="D35" s="1287"/>
      <c r="E35" s="1287"/>
      <c r="F35" s="1287"/>
      <c r="G35" s="1287"/>
      <c r="H35" s="1287"/>
      <c r="I35" s="1287"/>
    </row>
    <row r="36" spans="2:9" ht="26.25" customHeight="1">
      <c r="B36" s="1274" t="s">
        <v>520</v>
      </c>
      <c r="C36" s="1287" t="s">
        <v>553</v>
      </c>
      <c r="D36" s="1287"/>
      <c r="E36" s="1287"/>
      <c r="F36" s="1287"/>
      <c r="G36" s="1287"/>
      <c r="H36" s="1287"/>
      <c r="I36" s="1287"/>
    </row>
    <row r="37" spans="2:9" ht="26.25" customHeight="1">
      <c r="B37" s="1274" t="s">
        <v>521</v>
      </c>
      <c r="C37" s="1287" t="s">
        <v>526</v>
      </c>
      <c r="D37" s="1287"/>
      <c r="E37" s="1287"/>
      <c r="F37" s="1287"/>
      <c r="G37" s="1287"/>
      <c r="H37" s="1287"/>
      <c r="I37" s="1287"/>
    </row>
    <row r="38" spans="2:9" ht="26.25" customHeight="1">
      <c r="B38" s="1274" t="s">
        <v>522</v>
      </c>
      <c r="C38" s="1287" t="s">
        <v>536</v>
      </c>
      <c r="D38" s="1287"/>
      <c r="E38" s="1287"/>
      <c r="F38" s="1287"/>
      <c r="G38" s="1287"/>
      <c r="H38" s="1287"/>
      <c r="I38" s="1287"/>
    </row>
  </sheetData>
  <mergeCells count="19">
    <mergeCell ref="A2:J2"/>
    <mergeCell ref="C7:J7"/>
    <mergeCell ref="C8:J8"/>
    <mergeCell ref="C9:J9"/>
    <mergeCell ref="C5:I5"/>
    <mergeCell ref="C15:I15"/>
    <mergeCell ref="C32:I32"/>
    <mergeCell ref="C10:J10"/>
    <mergeCell ref="C11:J11"/>
    <mergeCell ref="C12:J12"/>
    <mergeCell ref="C13:J13"/>
    <mergeCell ref="C37:I37"/>
    <mergeCell ref="C38:I38"/>
    <mergeCell ref="C6:J6"/>
    <mergeCell ref="C33:I33"/>
    <mergeCell ref="C34:I34"/>
    <mergeCell ref="C35:I35"/>
    <mergeCell ref="C36:I36"/>
    <mergeCell ref="C14:I14"/>
  </mergeCells>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4">
    <tabColor indexed="21"/>
    <pageSetUpPr fitToPage="1"/>
  </sheetPr>
  <dimension ref="C1:AJ95"/>
  <sheetViews>
    <sheetView zoomScale="75" zoomScaleNormal="75" zoomScaleSheetLayoutView="100" workbookViewId="0" topLeftCell="A1">
      <selection activeCell="A1" sqref="A1"/>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1.7109375" style="159" customWidth="1"/>
    <col min="10" max="10" width="10.4218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9.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c r="AD2" s="1401"/>
      <c r="AE2" s="1401"/>
      <c r="AF2" s="1401"/>
      <c r="AG2" s="1401"/>
      <c r="AH2" s="3"/>
    </row>
    <row r="3" spans="3:35"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4" ht="21"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row>
    <row r="9" spans="3:34" ht="13.5" customHeight="1">
      <c r="C9" s="13"/>
      <c r="D9" s="5"/>
      <c r="E9" s="33"/>
      <c r="F9" s="1429"/>
      <c r="G9" s="1357"/>
      <c r="H9" s="1352" t="s">
        <v>546</v>
      </c>
      <c r="I9" s="1363" t="s">
        <v>547</v>
      </c>
      <c r="J9" s="1350" t="s">
        <v>548</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row>
    <row r="10" spans="3:34" ht="39" customHeigh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row>
    <row r="11" spans="3:34"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36" ht="38.25" customHeight="1" thickBot="1">
      <c r="C13" s="51" t="s">
        <v>62</v>
      </c>
      <c r="D13" s="5"/>
      <c r="E13" s="1390" t="s">
        <v>63</v>
      </c>
      <c r="F13" s="52" t="s">
        <v>64</v>
      </c>
      <c r="G13" s="53" t="s">
        <v>119</v>
      </c>
      <c r="H13" s="788">
        <f>COUNTIF(Austria!H13,"&gt;0")+COUNTIF('Czech Republic'!H13,"&gt;0")+COUNTIF(France!H13,"&gt;0")+COUNTIF(Finland!H13,"&gt;0")+COUNTIF(Germany!H13,"&gt;0")+COUNTIF(Lithuania!H13,"&gt;0")+COUNTIF(Netherlands!H13,"&gt;0")+COUNTIF(Norway!H13,"&gt;0")+COUNTIF(Slovenia!H13,"&gt;0")+COUNTIF(Sweden!H13,"&gt;0")+COUNTIF(Switzerland!H13,"&gt;0")+COUNTIF('United Kingdom'!H13,"&gt;0")+COUNTIF(Canada!H13,"&gt;0")+COUNTIF(USA!H13,"&gt;0")</f>
        <v>14</v>
      </c>
      <c r="I13" s="788">
        <f>COUNTIF(Austria!I13,"&gt;0")+COUNTIF('Czech Republic'!I13,"&gt;0")+COUNTIF(France!I13,"&gt;0")+COUNTIF(Finland!I13,"&gt;0")+COUNTIF(Germany!I13,"&gt;0")+COUNTIF(Lithuania!I13,"&gt;0")+COUNTIF(Netherlands!I13,"&gt;0")+COUNTIF(Norway!I13,"&gt;0")+COUNTIF(Slovenia!I13,"&gt;0")+COUNTIF(Sweden!I13,"&gt;0")+COUNTIF(Switzerland!I13,"&gt;0")+COUNTIF('United Kingdom'!I13,"&gt;0")+COUNTIF(Canada!I13,"&gt;0")+COUNTIF(USA!I13,"&gt;0")</f>
        <v>14</v>
      </c>
      <c r="J13" s="788">
        <f>COUNTIF(Austria!J13,"&gt;0")+COUNTIF('Czech Republic'!J13,"&gt;0")+COUNTIF(France!J13,"&gt;0")+COUNTIF(Finland!J13,"&gt;0")+COUNTIF(Germany!J13,"&gt;0")+COUNTIF(Lithuania!J13,"&gt;0")+COUNTIF(Netherlands!J13,"&gt;0")+COUNTIF(Norway!J13,"&gt;0")+COUNTIF(Slovenia!J13,"&gt;0")+COUNTIF(Sweden!J13,"&gt;0")+COUNTIF(Switzerland!J13,"&gt;0")+COUNTIF('United Kingdom'!J13,"&gt;0")+COUNTIF(Canada!J13,"&gt;0")+COUNTIF(USA!J13,"&gt;0")</f>
        <v>14</v>
      </c>
      <c r="K13" s="788">
        <f>COUNTIF(Austria!K13,"&gt;0")+COUNTIF('Czech Republic'!K13,"&gt;0")+COUNTIF(France!K13,"&gt;0")+COUNTIF(Finland!K13,"&gt;0")+COUNTIF(Germany!K13,"&gt;0")+COUNTIF(Lithuania!K13,"&gt;0")+COUNTIF(Netherlands!K13,"&gt;0")+COUNTIF(Norway!K13,"&gt;0")+COUNTIF(Slovenia!K13,"&gt;0")+COUNTIF(Sweden!K13,"&gt;0")+COUNTIF(Switzerland!K13,"&gt;0")+COUNTIF('United Kingdom'!K13,"&gt;0")+COUNTIF(Canada!K13,"&gt;0")+COUNTIF(USA!K13,"&gt;0")</f>
        <v>14</v>
      </c>
      <c r="L13" s="788">
        <f>COUNTIF(Austria!L13,"&gt;0")+COUNTIF('Czech Republic'!L13,"&gt;0")+COUNTIF(France!L13,"&gt;0")+COUNTIF(Finland!L13,"&gt;0")+COUNTIF(Germany!L13,"&gt;0")+COUNTIF(Lithuania!L13,"&gt;0")+COUNTIF(Netherlands!L13,"&gt;0")+COUNTIF(Norway!L13,"&gt;0")+COUNTIF(Slovenia!L13,"&gt;0")+COUNTIF(Sweden!L13,"&gt;0")+COUNTIF(Switzerland!L13,"&gt;0")+COUNTIF('United Kingdom'!L13,"&gt;0")+COUNTIF(Canada!L13,"&gt;0")+COUNTIF(USA!L13,"&gt;0")</f>
        <v>13</v>
      </c>
      <c r="M13" s="788">
        <f>COUNTIF(Austria!M13,"&gt;0")+COUNTIF('Czech Republic'!M13,"&gt;0")+COUNTIF(France!M13,"&gt;0")+COUNTIF(Finland!M13,"&gt;0")+COUNTIF(Germany!M13,"&gt;0")+COUNTIF(Lithuania!M13,"&gt;0")+COUNTIF(Netherlands!M13,"&gt;0")+COUNTIF(Norway!M13,"&gt;0")+COUNTIF(Slovenia!M13,"&gt;0")+COUNTIF(Sweden!M13,"&gt;0")+COUNTIF(Switzerland!M13,"&gt;0")+COUNTIF('United Kingdom'!M13,"&gt;0")+COUNTIF(Canada!M13,"&gt;0")+COUNTIF(USA!M13,"&gt;0")</f>
        <v>13</v>
      </c>
      <c r="N13" s="788">
        <f>COUNTIF(Austria!N13,"&gt;0")+COUNTIF('Czech Republic'!N13,"&gt;0")+COUNTIF(France!N13,"&gt;0")+COUNTIF(Finland!N13,"&gt;0")+COUNTIF(Germany!N13,"&gt;0")+COUNTIF(Lithuania!N13,"&gt;0")+COUNTIF(Netherlands!N13,"&gt;0")+COUNTIF(Norway!N13,"&gt;0")+COUNTIF(Slovenia!N13,"&gt;0")+COUNTIF(Sweden!N13,"&gt;0")+COUNTIF(Switzerland!N13,"&gt;0")+COUNTIF('United Kingdom'!N13,"&gt;0")+COUNTIF(Canada!N13,"&gt;0")+COUNTIF(USA!N13,"&gt;0")</f>
        <v>13</v>
      </c>
      <c r="O13" s="788">
        <f>COUNTIF(Austria!O13,"&gt;0")+COUNTIF('Czech Republic'!O13,"&gt;0")+COUNTIF(France!O13,"&gt;0")+COUNTIF(Finland!O13,"&gt;0")+COUNTIF(Germany!O13,"&gt;0")+COUNTIF(Lithuania!O13,"&gt;0")+COUNTIF(Netherlands!O13,"&gt;0")+COUNTIF(Norway!O13,"&gt;0")+COUNTIF(Slovenia!O13,"&gt;0")+COUNTIF(Sweden!O13,"&gt;0")+COUNTIF(Switzerland!O13,"&gt;0")+COUNTIF('United Kingdom'!O13,"&gt;0")+COUNTIF(Canada!O13,"&gt;0")+COUNTIF(USA!O13,"&gt;0")</f>
        <v>11</v>
      </c>
      <c r="P13" s="788">
        <f>COUNTIF(Austria!P13,"&gt;0")+COUNTIF('Czech Republic'!P13,"&gt;0")+COUNTIF(France!P13,"&gt;0")+COUNTIF(Finland!P13,"&gt;0")+COUNTIF(Germany!P13,"&gt;0")+COUNTIF(Lithuania!P13,"&gt;0")+COUNTIF(Netherlands!P13,"&gt;0")+COUNTIF(Norway!P13,"&gt;0")+COUNTIF(Slovenia!P13,"&gt;0")+COUNTIF(Sweden!P13,"&gt;0")+COUNTIF(Switzerland!P13,"&gt;0")+COUNTIF('United Kingdom'!P13,"&gt;0")+COUNTIF(Canada!P13,"&gt;0")+COUNTIF(USA!P13,"&gt;0")</f>
        <v>1</v>
      </c>
      <c r="Q13" s="788">
        <f>COUNTIF(Austria!Q13,"&gt;0")+COUNTIF('Czech Republic'!Q13,"&gt;0")+COUNTIF(France!Q13,"&gt;0")+COUNTIF(Finland!Q13,"&gt;0")+COUNTIF(Germany!Q13,"&gt;0")+COUNTIF(Lithuania!Q13,"&gt;0")+COUNTIF(Netherlands!Q13,"&gt;0")+COUNTIF(Norway!Q13,"&gt;0")+COUNTIF(Slovenia!Q13,"&gt;0")+COUNTIF(Sweden!Q13,"&gt;0")+COUNTIF(Switzerland!Q13,"&gt;0")+COUNTIF('United Kingdom'!Q13,"&gt;0")+COUNTIF(Canada!Q13,"&gt;0")+COUNTIF(USA!Q13,"&gt;0")</f>
        <v>0</v>
      </c>
      <c r="R13" s="788">
        <f>COUNTIF(Austria!R13,"&gt;0")+COUNTIF('Czech Republic'!R13,"&gt;0")+COUNTIF(France!R13,"&gt;0")+COUNTIF(Finland!R13,"&gt;0")+COUNTIF(Germany!R13,"&gt;0")+COUNTIF(Lithuania!R13,"&gt;0")+COUNTIF(Netherlands!R13,"&gt;0")+COUNTIF(Norway!R13,"&gt;0")+COUNTIF(Slovenia!R13,"&gt;0")+COUNTIF(Sweden!R13,"&gt;0")+COUNTIF(Switzerland!R13,"&gt;0")+COUNTIF('United Kingdom'!R13,"&gt;0")+COUNTIF(Canada!R13,"&gt;0")+COUNTIF(USA!R13,"&gt;0")</f>
        <v>0</v>
      </c>
      <c r="S13" s="788">
        <f>COUNTIF(Austria!S13,"&gt;0")+COUNTIF('Czech Republic'!S13,"&gt;0")+COUNTIF(France!S13,"&gt;0")+COUNTIF(Finland!S13,"&gt;0")+COUNTIF(Germany!S13,"&gt;0")+COUNTIF(Lithuania!S13,"&gt;0")+COUNTIF(Netherlands!S13,"&gt;0")+COUNTIF(Norway!S13,"&gt;0")+COUNTIF(Slovenia!S13,"&gt;0")+COUNTIF(Sweden!S13,"&gt;0")+COUNTIF(Switzerland!S13,"&gt;0")+COUNTIF('United Kingdom'!S13,"&gt;0")+COUNTIF(Canada!S13,"&gt;0")+COUNTIF(USA!S13,"&gt;0")</f>
        <v>0</v>
      </c>
      <c r="T13" s="788">
        <f>COUNTIF(Austria!T13,"&gt;0")+COUNTIF('Czech Republic'!T13,"&gt;0")+COUNTIF(France!T13,"&gt;0")+COUNTIF(Finland!T13,"&gt;0")+COUNTIF(Germany!T13,"&gt;0")+COUNTIF(Lithuania!T13,"&gt;0")+COUNTIF(Netherlands!T13,"&gt;0")+COUNTIF(Norway!T13,"&gt;0")+COUNTIF(Slovenia!T13,"&gt;0")+COUNTIF(Sweden!T13,"&gt;0")+COUNTIF(Switzerland!T13,"&gt;0")+COUNTIF('United Kingdom'!T13,"&gt;0")+COUNTIF(Canada!T13,"&gt;0")+COUNTIF(USA!T13,"&gt;0")</f>
        <v>1</v>
      </c>
      <c r="U13" s="788">
        <f>COUNTIF(Austria!U13,"&gt;0")+COUNTIF('Czech Republic'!U13,"&gt;0")+COUNTIF(France!U13,"&gt;0")+COUNTIF(Finland!U13,"&gt;0")+COUNTIF(Germany!U13,"&gt;0")+COUNTIF(Lithuania!U13,"&gt;0")+COUNTIF(Netherlands!U13,"&gt;0")+COUNTIF(Norway!U13,"&gt;0")+COUNTIF(Slovenia!U13,"&gt;0")+COUNTIF(Sweden!U13,"&gt;0")+COUNTIF(Switzerland!U13,"&gt;0")+COUNTIF('United Kingdom'!U13,"&gt;0")+COUNTIF(Canada!U13,"&gt;0")+COUNTIF(USA!U13,"&gt;0")</f>
        <v>1</v>
      </c>
      <c r="V13" s="788">
        <f>COUNTIF(Austria!V13,"&gt;0")+COUNTIF('Czech Republic'!V13,"&gt;0")+COUNTIF(France!V13,"&gt;0")+COUNTIF(Finland!V13,"&gt;0")+COUNTIF(Germany!V13,"&gt;0")+COUNTIF(Lithuania!V13,"&gt;0")+COUNTIF(Netherlands!V13,"&gt;0")+COUNTIF(Norway!V13,"&gt;0")+COUNTIF(Slovenia!V13,"&gt;0")+COUNTIF(Sweden!V13,"&gt;0")+COUNTIF(Switzerland!V13,"&gt;0")+COUNTIF('United Kingdom'!V13,"&gt;0")+COUNTIF(Canada!V13,"&gt;0")+COUNTIF(USA!V13,"&gt;0")</f>
        <v>1</v>
      </c>
      <c r="W13" s="788">
        <f>COUNTIF(Austria!W13,"&gt;0")+COUNTIF('Czech Republic'!W13,"&gt;0")+COUNTIF(France!W13,"&gt;0")+COUNTIF(Finland!W13,"&gt;0")+COUNTIF(Germany!W13,"&gt;0")+COUNTIF(Lithuania!W13,"&gt;0")+COUNTIF(Netherlands!W13,"&gt;0")+COUNTIF(Norway!W13,"&gt;0")+COUNTIF(Slovenia!W13,"&gt;0")+COUNTIF(Sweden!W13,"&gt;0")+COUNTIF(Switzerland!W13,"&gt;0")+COUNTIF('United Kingdom'!W13,"&gt;0")+COUNTIF(Canada!W13,"&gt;0")+COUNTIF(USA!W13,"&gt;0")</f>
        <v>0</v>
      </c>
      <c r="X13" s="788">
        <f>COUNTIF(Austria!X13,"&gt;0")+COUNTIF('Czech Republic'!X13,"&gt;0")+COUNTIF(France!X13,"&gt;0")+COUNTIF(Finland!X13,"&gt;0")+COUNTIF(Germany!X13,"&gt;0")+COUNTIF(Lithuania!X13,"&gt;0")+COUNTIF(Netherlands!X13,"&gt;0")+COUNTIF(Norway!X13,"&gt;0")+COUNTIF(Slovenia!X13,"&gt;0")+COUNTIF(Sweden!X13,"&gt;0")+COUNTIF(Switzerland!X13,"&gt;0")+COUNTIF('United Kingdom'!X13,"&gt;0")+COUNTIF(Canada!X13,"&gt;0")+COUNTIF(USA!X13,"&gt;0")</f>
        <v>0</v>
      </c>
      <c r="Y13" s="788">
        <f>COUNTIF(Austria!Y13,"&gt;0")+COUNTIF('Czech Republic'!Y13,"&gt;0")+COUNTIF(France!Y13,"&gt;0")+COUNTIF(Finland!Y13,"&gt;0")+COUNTIF(Germany!Y13,"&gt;0")+COUNTIF(Lithuania!Y13,"&gt;0")+COUNTIF(Netherlands!Y13,"&gt;0")+COUNTIF(Norway!Y13,"&gt;0")+COUNTIF(Slovenia!Y13,"&gt;0")+COUNTIF(Sweden!Y13,"&gt;0")+COUNTIF(Switzerland!Y13,"&gt;0")+COUNTIF('United Kingdom'!Y13,"&gt;0")+COUNTIF(Canada!Y13,"&gt;0")+COUNTIF(USA!Y13,"&gt;0")</f>
        <v>0</v>
      </c>
      <c r="Z13" s="788">
        <f>COUNTIF(Austria!Z13,"&gt;0")+COUNTIF('Czech Republic'!Z13,"&gt;0")+COUNTIF(France!Z13,"&gt;0")+COUNTIF(Finland!Z13,"&gt;0")+COUNTIF(Germany!Z13,"&gt;0")+COUNTIF(Lithuania!Z13,"&gt;0")+COUNTIF(Netherlands!Z13,"&gt;0")+COUNTIF(Norway!Z13,"&gt;0")+COUNTIF(Slovenia!Z13,"&gt;0")+COUNTIF(Sweden!Z13,"&gt;0")+COUNTIF(Switzerland!Z13,"&gt;0")+COUNTIF('United Kingdom'!Z13,"&gt;0")+COUNTIF(Canada!Z13,"&gt;0")+COUNTIF(USA!Z13,"&gt;0")</f>
        <v>0</v>
      </c>
      <c r="AA13" s="788">
        <f>COUNTIF(Austria!AA13,"&gt;0")+COUNTIF('Czech Republic'!AA13,"&gt;0")+COUNTIF(France!AA13,"&gt;0")+COUNTIF(Finland!AA13,"&gt;0")+COUNTIF(Germany!AA13,"&gt;0")+COUNTIF(Lithuania!AA13,"&gt;0")+COUNTIF(Netherlands!AA13,"&gt;0")+COUNTIF(Norway!AA13,"&gt;0")+COUNTIF(Slovenia!AA13,"&gt;0")+COUNTIF(Sweden!AA13,"&gt;0")+COUNTIF(Switzerland!AA13,"&gt;0")+COUNTIF('United Kingdom'!AA13,"&gt;0")+COUNTIF(Canada!AA13,"&gt;0")+COUNTIF(USA!AA13,"&gt;0")</f>
        <v>0</v>
      </c>
      <c r="AB13" s="788">
        <f>COUNTIF(Austria!AB13,"&gt;0")+COUNTIF('Czech Republic'!AB13,"&gt;0")+COUNTIF(France!AB13,"&gt;0")+COUNTIF(Finland!AB13,"&gt;0")+COUNTIF(Germany!AB13,"&gt;0")+COUNTIF(Lithuania!AB13,"&gt;0")+COUNTIF(Netherlands!AB13,"&gt;0")+COUNTIF(Norway!AB13,"&gt;0")+COUNTIF(Slovenia!AB13,"&gt;0")+COUNTIF(Sweden!AB13,"&gt;0")+COUNTIF(Switzerland!AB13,"&gt;0")+COUNTIF('United Kingdom'!AB13,"&gt;0")+COUNTIF(Canada!AB13,"&gt;0")+COUNTIF(USA!AB13,"&gt;0")</f>
        <v>0</v>
      </c>
      <c r="AC13" s="788">
        <f>COUNTIF(Austria!AC13,"&gt;0")+COUNTIF('Czech Republic'!AC13,"&gt;0")+COUNTIF(France!AC13,"&gt;0")+COUNTIF(Finland!AC13,"&gt;0")+COUNTIF(Germany!AC13,"&gt;0")+COUNTIF(Lithuania!AC13,"&gt;0")+COUNTIF(Netherlands!AC13,"&gt;0")+COUNTIF(Norway!AC13,"&gt;0")+COUNTIF(Slovenia!AC13,"&gt;0")+COUNTIF(Sweden!AC13,"&gt;0")+COUNTIF(Switzerland!AC13,"&gt;0")+COUNTIF('United Kingdom'!AC13,"&gt;0")+COUNTIF(Canada!AC13,"&gt;0")+COUNTIF(USA!AC13,"&gt;0")</f>
        <v>1</v>
      </c>
      <c r="AD13" s="788">
        <f>COUNTIF(Austria!AD13,"&gt;0")+COUNTIF('Czech Republic'!AD13,"&gt;0")+COUNTIF(France!AD13,"&gt;0")+COUNTIF(Finland!AD13,"&gt;0")+COUNTIF(Germany!AD13,"&gt;0")+COUNTIF(Lithuania!AD13,"&gt;0")+COUNTIF(Netherlands!AD13,"&gt;0")+COUNTIF(Norway!AD13,"&gt;0")+COUNTIF(Slovenia!AD13,"&gt;0")+COUNTIF(Sweden!AD13,"&gt;0")+COUNTIF(Switzerland!AD13,"&gt;0")+COUNTIF('United Kingdom'!AD13,"&gt;0")+COUNTIF(Canada!AD13,"&gt;0")+COUNTIF(USA!AD13,"&gt;0")</f>
        <v>0</v>
      </c>
      <c r="AE13" s="788">
        <f>COUNTIF(Austria!AE13,"&gt;0")+COUNTIF('Czech Republic'!AE13,"&gt;0")+COUNTIF(France!AE13,"&gt;0")+COUNTIF(Finland!AE13,"&gt;0")+COUNTIF(Germany!AE13,"&gt;0")+COUNTIF(Lithuania!AE13,"&gt;0")+COUNTIF(Netherlands!AE13,"&gt;0")+COUNTIF(Norway!AE13,"&gt;0")+COUNTIF(Slovenia!AE13,"&gt;0")+COUNTIF(Sweden!AE13,"&gt;0")+COUNTIF(Switzerland!AE13,"&gt;0")+COUNTIF('United Kingdom'!AE13,"&gt;0")+COUNTIF(Canada!AE13,"&gt;0")+COUNTIF(USA!AE13,"&gt;0")</f>
        <v>0</v>
      </c>
      <c r="AF13" s="788">
        <f>COUNTIF(Austria!AF13,"&gt;0")+COUNTIF('Czech Republic'!AF13,"&gt;0")+COUNTIF(France!AF13,"&gt;0")+COUNTIF(Finland!AF13,"&gt;0")+COUNTIF(Germany!AF13,"&gt;0")+COUNTIF(Lithuania!AF13,"&gt;0")+COUNTIF(Netherlands!AF13,"&gt;0")+COUNTIF(Norway!AF13,"&gt;0")+COUNTIF(Slovenia!AF13,"&gt;0")+COUNTIF(Sweden!AF13,"&gt;0")+COUNTIF(Switzerland!AF13,"&gt;0")+COUNTIF('United Kingdom'!AF13,"&gt;0")+COUNTIF(Canada!AF13,"&gt;0")+COUNTIF(USA!AF13,"&gt;0")</f>
        <v>1</v>
      </c>
      <c r="AG13" s="127"/>
      <c r="AH13" s="51" t="s">
        <v>62</v>
      </c>
      <c r="AJ13" s="59"/>
    </row>
    <row r="14" spans="3:34" ht="38.25" customHeight="1" thickBot="1">
      <c r="C14" s="60" t="s">
        <v>71</v>
      </c>
      <c r="D14" s="5"/>
      <c r="E14" s="1391"/>
      <c r="F14" s="61" t="s">
        <v>117</v>
      </c>
      <c r="G14" s="80" t="s">
        <v>119</v>
      </c>
      <c r="H14" s="788">
        <f>COUNTIF(Austria!H14,"&gt;0")+COUNTIF('Czech Republic'!H14,"&gt;0")+COUNTIF(France!H14,"&gt;0")+COUNTIF(Finland!H14,"&gt;0")+COUNTIF(Germany!H14,"&gt;0")+COUNTIF(Lithuania!H14,"&gt;0")+COUNTIF(Netherlands!H14,"&gt;0")+COUNTIF(Norway!H14,"&gt;0")+COUNTIF(Slovenia!H14,"&gt;0")+COUNTIF(Sweden!H14,"&gt;0")+COUNTIF(Switzerland!H14,"&gt;0")+COUNTIF('United Kingdom'!H14,"&gt;0")+COUNTIF(Canada!H14,"&gt;0")+COUNTIF(USA!H14,"&gt;0")</f>
        <v>14</v>
      </c>
      <c r="I14" s="788">
        <f>COUNTIF(Austria!I14,"&gt;0")+COUNTIF('Czech Republic'!I14,"&gt;0")+COUNTIF(France!I14,"&gt;0")+COUNTIF(Finland!I14,"&gt;0")+COUNTIF(Germany!I14,"&gt;0")+COUNTIF(Lithuania!I14,"&gt;0")+COUNTIF(Netherlands!I14,"&gt;0")+COUNTIF(Norway!I14,"&gt;0")+COUNTIF(Slovenia!I14,"&gt;0")+COUNTIF(Sweden!I14,"&gt;0")+COUNTIF(Switzerland!I14,"&gt;0")+COUNTIF('United Kingdom'!I14,"&gt;0")+COUNTIF(Canada!I14,"&gt;0")+COUNTIF(USA!I14,"&gt;0")</f>
        <v>11</v>
      </c>
      <c r="J14" s="788">
        <f>COUNTIF(Austria!J14,"&gt;0")+COUNTIF('Czech Republic'!J14,"&gt;0")+COUNTIF(France!J14,"&gt;0")+COUNTIF(Finland!J14,"&gt;0")+COUNTIF(Germany!J14,"&gt;0")+COUNTIF(Lithuania!J14,"&gt;0")+COUNTIF(Netherlands!J14,"&gt;0")+COUNTIF(Norway!J14,"&gt;0")+COUNTIF(Slovenia!J14,"&gt;0")+COUNTIF(Sweden!J14,"&gt;0")+COUNTIF(Switzerland!J14,"&gt;0")+COUNTIF('United Kingdom'!J14,"&gt;0")+COUNTIF(Canada!J14,"&gt;0")+COUNTIF(USA!J14,"&gt;0")</f>
        <v>12</v>
      </c>
      <c r="K14" s="788">
        <f>COUNTIF(Austria!K14,"&gt;0")+COUNTIF('Czech Republic'!K14,"&gt;0")+COUNTIF(France!K14,"&gt;0")+COUNTIF(Finland!K14,"&gt;0")+COUNTIF(Germany!K14,"&gt;0")+COUNTIF(Lithuania!K14,"&gt;0")+COUNTIF(Netherlands!K14,"&gt;0")+COUNTIF(Norway!K14,"&gt;0")+COUNTIF(Slovenia!K14,"&gt;0")+COUNTIF(Sweden!K14,"&gt;0")+COUNTIF(Switzerland!K14,"&gt;0")+COUNTIF('United Kingdom'!K14,"&gt;0")+COUNTIF(Canada!K14,"&gt;0")+COUNTIF(USA!K14,"&gt;0")</f>
        <v>13</v>
      </c>
      <c r="L14" s="788">
        <f>COUNTIF(Austria!L14,"&gt;0")+COUNTIF('Czech Republic'!L14,"&gt;0")+COUNTIF(France!L14,"&gt;0")+COUNTIF(Finland!L14,"&gt;0")+COUNTIF(Germany!L14,"&gt;0")+COUNTIF(Lithuania!L14,"&gt;0")+COUNTIF(Netherlands!L14,"&gt;0")+COUNTIF(Norway!L14,"&gt;0")+COUNTIF(Slovenia!L14,"&gt;0")+COUNTIF(Sweden!L14,"&gt;0")+COUNTIF(Switzerland!L14,"&gt;0")+COUNTIF('United Kingdom'!L14,"&gt;0")+COUNTIF(Canada!L14,"&gt;0")+COUNTIF(USA!L14,"&gt;0")</f>
        <v>0</v>
      </c>
      <c r="M14" s="788">
        <f>COUNTIF(Austria!M14,"&gt;0")+COUNTIF('Czech Republic'!M14,"&gt;0")+COUNTIF(France!M14,"&gt;0")+COUNTIF(Finland!M14,"&gt;0")+COUNTIF(Germany!M14,"&gt;0")+COUNTIF(Lithuania!M14,"&gt;0")+COUNTIF(Netherlands!M14,"&gt;0")+COUNTIF(Norway!M14,"&gt;0")+COUNTIF(Slovenia!M14,"&gt;0")+COUNTIF(Sweden!M14,"&gt;0")+COUNTIF(Switzerland!M14,"&gt;0")+COUNTIF('United Kingdom'!M14,"&gt;0")+COUNTIF(Canada!M14,"&gt;0")+COUNTIF(USA!M14,"&gt;0")</f>
        <v>0</v>
      </c>
      <c r="N14" s="788">
        <f>COUNTIF(Austria!N14,"&gt;0")+COUNTIF('Czech Republic'!N14,"&gt;0")+COUNTIF(France!N14,"&gt;0")+COUNTIF(Finland!N14,"&gt;0")+COUNTIF(Germany!N14,"&gt;0")+COUNTIF(Lithuania!N14,"&gt;0")+COUNTIF(Netherlands!N14,"&gt;0")+COUNTIF(Norway!N14,"&gt;0")+COUNTIF(Slovenia!N14,"&gt;0")+COUNTIF(Sweden!N14,"&gt;0")+COUNTIF(Switzerland!N14,"&gt;0")+COUNTIF('United Kingdom'!N14,"&gt;0")+COUNTIF(Canada!N14,"&gt;0")+COUNTIF(USA!N14,"&gt;0")</f>
        <v>0</v>
      </c>
      <c r="O14" s="788">
        <f>COUNTIF(Austria!O14,"&gt;0")+COUNTIF('Czech Republic'!O14,"&gt;0")+COUNTIF(France!O14,"&gt;0")+COUNTIF(Finland!O14,"&gt;0")+COUNTIF(Germany!O14,"&gt;0")+COUNTIF(Lithuania!O14,"&gt;0")+COUNTIF(Netherlands!O14,"&gt;0")+COUNTIF(Norway!O14,"&gt;0")+COUNTIF(Slovenia!O14,"&gt;0")+COUNTIF(Sweden!O14,"&gt;0")+COUNTIF(Switzerland!O14,"&gt;0")+COUNTIF('United Kingdom'!O14,"&gt;0")+COUNTIF(Canada!O14,"&gt;0")+COUNTIF(USA!O14,"&gt;0")</f>
        <v>0</v>
      </c>
      <c r="P14" s="788">
        <f>COUNTIF(Austria!P14,"&gt;0")+COUNTIF('Czech Republic'!P14,"&gt;0")+COUNTIF(France!P14,"&gt;0")+COUNTIF(Finland!P14,"&gt;0")+COUNTIF(Germany!P14,"&gt;0")+COUNTIF(Lithuania!P14,"&gt;0")+COUNTIF(Netherlands!P14,"&gt;0")+COUNTIF(Norway!P14,"&gt;0")+COUNTIF(Slovenia!P14,"&gt;0")+COUNTIF(Sweden!P14,"&gt;0")+COUNTIF(Switzerland!P14,"&gt;0")+COUNTIF('United Kingdom'!P14,"&gt;0")+COUNTIF(Canada!P14,"&gt;0")+COUNTIF(USA!P14,"&gt;0")</f>
        <v>0</v>
      </c>
      <c r="Q14" s="788">
        <f>COUNTIF(Austria!Q14,"&gt;0")+COUNTIF('Czech Republic'!Q14,"&gt;0")+COUNTIF(France!Q14,"&gt;0")+COUNTIF(Finland!Q14,"&gt;0")+COUNTIF(Germany!Q14,"&gt;0")+COUNTIF(Lithuania!Q14,"&gt;0")+COUNTIF(Netherlands!Q14,"&gt;0")+COUNTIF(Norway!Q14,"&gt;0")+COUNTIF(Slovenia!Q14,"&gt;0")+COUNTIF(Sweden!Q14,"&gt;0")+COUNTIF(Switzerland!Q14,"&gt;0")+COUNTIF('United Kingdom'!Q14,"&gt;0")+COUNTIF(Canada!Q14,"&gt;0")+COUNTIF(USA!Q14,"&gt;0")</f>
        <v>3</v>
      </c>
      <c r="R14" s="788">
        <f>COUNTIF(Austria!R14,"&gt;0")+COUNTIF('Czech Republic'!R14,"&gt;0")+COUNTIF(France!R14,"&gt;0")+COUNTIF(Finland!R14,"&gt;0")+COUNTIF(Germany!R14,"&gt;0")+COUNTIF(Lithuania!R14,"&gt;0")+COUNTIF(Netherlands!R14,"&gt;0")+COUNTIF(Norway!R14,"&gt;0")+COUNTIF(Slovenia!R14,"&gt;0")+COUNTIF(Sweden!R14,"&gt;0")+COUNTIF(Switzerland!R14,"&gt;0")+COUNTIF('United Kingdom'!R14,"&gt;0")+COUNTIF(Canada!R14,"&gt;0")+COUNTIF(USA!R14,"&gt;0")</f>
        <v>0</v>
      </c>
      <c r="S14" s="788">
        <f>COUNTIF(Austria!S14,"&gt;0")+COUNTIF('Czech Republic'!S14,"&gt;0")+COUNTIF(France!S14,"&gt;0")+COUNTIF(Finland!S14,"&gt;0")+COUNTIF(Germany!S14,"&gt;0")+COUNTIF(Lithuania!S14,"&gt;0")+COUNTIF(Netherlands!S14,"&gt;0")+COUNTIF(Norway!S14,"&gt;0")+COUNTIF(Slovenia!S14,"&gt;0")+COUNTIF(Sweden!S14,"&gt;0")+COUNTIF(Switzerland!S14,"&gt;0")+COUNTIF('United Kingdom'!S14,"&gt;0")+COUNTIF(Canada!S14,"&gt;0")+COUNTIF(USA!S14,"&gt;0")</f>
        <v>2</v>
      </c>
      <c r="T14" s="788">
        <f>COUNTIF(Austria!T14,"&gt;0")+COUNTIF('Czech Republic'!T14,"&gt;0")+COUNTIF(France!T14,"&gt;0")+COUNTIF(Finland!T14,"&gt;0")+COUNTIF(Germany!T14,"&gt;0")+COUNTIF(Lithuania!T14,"&gt;0")+COUNTIF(Netherlands!T14,"&gt;0")+COUNTIF(Norway!T14,"&gt;0")+COUNTIF(Slovenia!T14,"&gt;0")+COUNTIF(Sweden!T14,"&gt;0")+COUNTIF(Switzerland!T14,"&gt;0")+COUNTIF('United Kingdom'!T14,"&gt;0")+COUNTIF(Canada!T14,"&gt;0")+COUNTIF(USA!T14,"&gt;0")</f>
        <v>2</v>
      </c>
      <c r="U14" s="788">
        <f>COUNTIF(Austria!U14,"&gt;0")+COUNTIF('Czech Republic'!U14,"&gt;0")+COUNTIF(France!U14,"&gt;0")+COUNTIF(Finland!U14,"&gt;0")+COUNTIF(Germany!U14,"&gt;0")+COUNTIF(Lithuania!U14,"&gt;0")+COUNTIF(Netherlands!U14,"&gt;0")+COUNTIF(Norway!U14,"&gt;0")+COUNTIF(Slovenia!U14,"&gt;0")+COUNTIF(Sweden!U14,"&gt;0")+COUNTIF(Switzerland!U14,"&gt;0")+COUNTIF('United Kingdom'!U14,"&gt;0")+COUNTIF(Canada!U14,"&gt;0")+COUNTIF(USA!U14,"&gt;0")</f>
        <v>1</v>
      </c>
      <c r="V14" s="788">
        <f>COUNTIF(Austria!V14,"&gt;0")+COUNTIF('Czech Republic'!V14,"&gt;0")+COUNTIF(France!V14,"&gt;0")+COUNTIF(Finland!V14,"&gt;0")+COUNTIF(Germany!V14,"&gt;0")+COUNTIF(Lithuania!V14,"&gt;0")+COUNTIF(Netherlands!V14,"&gt;0")+COUNTIF(Norway!V14,"&gt;0")+COUNTIF(Slovenia!V14,"&gt;0")+COUNTIF(Sweden!V14,"&gt;0")+COUNTIF(Switzerland!V14,"&gt;0")+COUNTIF('United Kingdom'!V14,"&gt;0")+COUNTIF(Canada!V14,"&gt;0")+COUNTIF(USA!V14,"&gt;0")</f>
        <v>4</v>
      </c>
      <c r="W14" s="788">
        <f>COUNTIF(Austria!W14,"&gt;0")+COUNTIF('Czech Republic'!W14,"&gt;0")+COUNTIF(France!W14,"&gt;0")+COUNTIF(Finland!W14,"&gt;0")+COUNTIF(Germany!W14,"&gt;0")+COUNTIF(Lithuania!W14,"&gt;0")+COUNTIF(Netherlands!W14,"&gt;0")+COUNTIF(Norway!W14,"&gt;0")+COUNTIF(Slovenia!W14,"&gt;0")+COUNTIF(Sweden!W14,"&gt;0")+COUNTIF(Switzerland!W14,"&gt;0")+COUNTIF('United Kingdom'!W14,"&gt;0")+COUNTIF(Canada!W14,"&gt;0")+COUNTIF(USA!W14,"&gt;0")</f>
        <v>1</v>
      </c>
      <c r="X14" s="788">
        <f>COUNTIF(Austria!X14,"&gt;0")+COUNTIF('Czech Republic'!X14,"&gt;0")+COUNTIF(France!X14,"&gt;0")+COUNTIF(Finland!X14,"&gt;0")+COUNTIF(Germany!X14,"&gt;0")+COUNTIF(Lithuania!X14,"&gt;0")+COUNTIF(Netherlands!X14,"&gt;0")+COUNTIF(Norway!X14,"&gt;0")+COUNTIF(Slovenia!X14,"&gt;0")+COUNTIF(Sweden!X14,"&gt;0")+COUNTIF(Switzerland!X14,"&gt;0")+COUNTIF('United Kingdom'!X14,"&gt;0")+COUNTIF(Canada!X14,"&gt;0")+COUNTIF(USA!X14,"&gt;0")</f>
        <v>0</v>
      </c>
      <c r="Y14" s="788">
        <f>COUNTIF(Austria!Y14,"&gt;0")+COUNTIF('Czech Republic'!Y14,"&gt;0")+COUNTIF(France!Y14,"&gt;0")+COUNTIF(Finland!Y14,"&gt;0")+COUNTIF(Germany!Y14,"&gt;0")+COUNTIF(Lithuania!Y14,"&gt;0")+COUNTIF(Netherlands!Y14,"&gt;0")+COUNTIF(Norway!Y14,"&gt;0")+COUNTIF(Slovenia!Y14,"&gt;0")+COUNTIF(Sweden!Y14,"&gt;0")+COUNTIF(Switzerland!Y14,"&gt;0")+COUNTIF('United Kingdom'!Y14,"&gt;0")+COUNTIF(Canada!Y14,"&gt;0")+COUNTIF(USA!Y14,"&gt;0")</f>
        <v>1</v>
      </c>
      <c r="Z14" s="788">
        <f>COUNTIF(Austria!Z14,"&gt;0")+COUNTIF('Czech Republic'!Z14,"&gt;0")+COUNTIF(France!Z14,"&gt;0")+COUNTIF(Finland!Z14,"&gt;0")+COUNTIF(Germany!Z14,"&gt;0")+COUNTIF(Lithuania!Z14,"&gt;0")+COUNTIF(Netherlands!Z14,"&gt;0")+COUNTIF(Norway!Z14,"&gt;0")+COUNTIF(Slovenia!Z14,"&gt;0")+COUNTIF(Sweden!Z14,"&gt;0")+COUNTIF(Switzerland!Z14,"&gt;0")+COUNTIF('United Kingdom'!Z14,"&gt;0")+COUNTIF(Canada!Z14,"&gt;0")+COUNTIF(USA!Z14,"&gt;0")</f>
        <v>2</v>
      </c>
      <c r="AA14" s="788">
        <f>COUNTIF(Austria!AA14,"&gt;0")+COUNTIF('Czech Republic'!AA14,"&gt;0")+COUNTIF(France!AA14,"&gt;0")+COUNTIF(Finland!AA14,"&gt;0")+COUNTIF(Germany!AA14,"&gt;0")+COUNTIF(Lithuania!AA14,"&gt;0")+COUNTIF(Netherlands!AA14,"&gt;0")+COUNTIF(Norway!AA14,"&gt;0")+COUNTIF(Slovenia!AA14,"&gt;0")+COUNTIF(Sweden!AA14,"&gt;0")+COUNTIF(Switzerland!AA14,"&gt;0")+COUNTIF('United Kingdom'!AA14,"&gt;0")+COUNTIF(Canada!AA14,"&gt;0")+COUNTIF(USA!AA14,"&gt;0")</f>
        <v>2</v>
      </c>
      <c r="AB14" s="788">
        <f>COUNTIF(Austria!AB14,"&gt;0")+COUNTIF('Czech Republic'!AB14,"&gt;0")+COUNTIF(France!AB14,"&gt;0")+COUNTIF(Finland!AB14,"&gt;0")+COUNTIF(Germany!AB14,"&gt;0")+COUNTIF(Lithuania!AB14,"&gt;0")+COUNTIF(Netherlands!AB14,"&gt;0")+COUNTIF(Norway!AB14,"&gt;0")+COUNTIF(Slovenia!AB14,"&gt;0")+COUNTIF(Sweden!AB14,"&gt;0")+COUNTIF(Switzerland!AB14,"&gt;0")+COUNTIF('United Kingdom'!AB14,"&gt;0")+COUNTIF(Canada!AB14,"&gt;0")+COUNTIF(USA!AB14,"&gt;0")</f>
        <v>3</v>
      </c>
      <c r="AC14" s="788">
        <f>COUNTIF(Austria!AC14,"&gt;0")+COUNTIF('Czech Republic'!AC14,"&gt;0")+COUNTIF(France!AC14,"&gt;0")+COUNTIF(Finland!AC14,"&gt;0")+COUNTIF(Germany!AC14,"&gt;0")+COUNTIF(Lithuania!AC14,"&gt;0")+COUNTIF(Netherlands!AC14,"&gt;0")+COUNTIF(Norway!AC14,"&gt;0")+COUNTIF(Slovenia!AC14,"&gt;0")+COUNTIF(Sweden!AC14,"&gt;0")+COUNTIF(Switzerland!AC14,"&gt;0")+COUNTIF('United Kingdom'!AC14,"&gt;0")+COUNTIF(Canada!AC14,"&gt;0")+COUNTIF(USA!AC14,"&gt;0")</f>
        <v>11</v>
      </c>
      <c r="AD14" s="788">
        <f>COUNTIF(Austria!AD14,"&gt;0")+COUNTIF('Czech Republic'!AD14,"&gt;0")+COUNTIF(France!AD14,"&gt;0")+COUNTIF(Finland!AD14,"&gt;0")+COUNTIF(Germany!AD14,"&gt;0")+COUNTIF(Lithuania!AD14,"&gt;0")+COUNTIF(Netherlands!AD14,"&gt;0")+COUNTIF(Norway!AD14,"&gt;0")+COUNTIF(Slovenia!AD14,"&gt;0")+COUNTIF(Sweden!AD14,"&gt;0")+COUNTIF(Switzerland!AD14,"&gt;0")+COUNTIF('United Kingdom'!AD14,"&gt;0")+COUNTIF(Canada!AD14,"&gt;0")+COUNTIF(USA!AD14,"&gt;0")</f>
        <v>5</v>
      </c>
      <c r="AE14" s="788">
        <f>COUNTIF(Austria!AE14,"&gt;0")+COUNTIF('Czech Republic'!AE14,"&gt;0")+COUNTIF(France!AE14,"&gt;0")+COUNTIF(Finland!AE14,"&gt;0")+COUNTIF(Germany!AE14,"&gt;0")+COUNTIF(Lithuania!AE14,"&gt;0")+COUNTIF(Netherlands!AE14,"&gt;0")+COUNTIF(Norway!AE14,"&gt;0")+COUNTIF(Slovenia!AE14,"&gt;0")+COUNTIF(Sweden!AE14,"&gt;0")+COUNTIF(Switzerland!AE14,"&gt;0")+COUNTIF('United Kingdom'!AE14,"&gt;0")+COUNTIF(Canada!AE14,"&gt;0")+COUNTIF(USA!AE14,"&gt;0")</f>
        <v>2</v>
      </c>
      <c r="AF14" s="788">
        <f>COUNTIF(Austria!AF14,"&gt;0")+COUNTIF('Czech Republic'!AF14,"&gt;0")+COUNTIF(France!AF14,"&gt;0")+COUNTIF(Finland!AF14,"&gt;0")+COUNTIF(Germany!AF14,"&gt;0")+COUNTIF(Lithuania!AF14,"&gt;0")+COUNTIF(Netherlands!AF14,"&gt;0")+COUNTIF(Norway!AF14,"&gt;0")+COUNTIF(Slovenia!AF14,"&gt;0")+COUNTIF(Sweden!AF14,"&gt;0")+COUNTIF(Switzerland!AF14,"&gt;0")+COUNTIF('United Kingdom'!AF14,"&gt;0")+COUNTIF(Canada!AF14,"&gt;0")+COUNTIF(USA!AF14,"&gt;0")</f>
        <v>14</v>
      </c>
      <c r="AG14" s="127"/>
      <c r="AH14" s="60" t="s">
        <v>71</v>
      </c>
    </row>
    <row r="15" spans="3:34" ht="38.25" customHeight="1" thickBot="1">
      <c r="C15" s="51" t="s">
        <v>74</v>
      </c>
      <c r="D15" s="5"/>
      <c r="E15" s="1391"/>
      <c r="F15" s="61" t="s">
        <v>75</v>
      </c>
      <c r="G15" s="80" t="s">
        <v>119</v>
      </c>
      <c r="H15" s="788">
        <f>COUNTIF(Austria!H15,"&gt;0")+COUNTIF('Czech Republic'!H15,"&gt;0")+COUNTIF(France!H15,"&gt;0")+COUNTIF(Finland!H15,"&gt;0")+COUNTIF(Germany!H15,"&gt;0")+COUNTIF(Lithuania!H15,"&gt;0")+COUNTIF(Netherlands!H15,"&gt;0")+COUNTIF(Norway!H15,"&gt;0")+COUNTIF(Slovenia!H15,"&gt;0")+COUNTIF(Sweden!H15,"&gt;0")+COUNTIF(Switzerland!H15,"&gt;0")+COUNTIF('United Kingdom'!H15,"&gt;0")+COUNTIF(Canada!H15,"&gt;0")+COUNTIF(USA!H15,"&gt;0")</f>
        <v>7</v>
      </c>
      <c r="I15" s="788">
        <f>COUNTIF(Austria!I15,"&gt;0")+COUNTIF('Czech Republic'!I15,"&gt;0")+COUNTIF(France!I15,"&gt;0")+COUNTIF(Finland!I15,"&gt;0")+COUNTIF(Germany!I15,"&gt;0")+COUNTIF(Lithuania!I15,"&gt;0")+COUNTIF(Netherlands!I15,"&gt;0")+COUNTIF(Norway!I15,"&gt;0")+COUNTIF(Slovenia!I15,"&gt;0")+COUNTIF(Sweden!I15,"&gt;0")+COUNTIF(Switzerland!I15,"&gt;0")+COUNTIF('United Kingdom'!I15,"&gt;0")+COUNTIF(Canada!I15,"&gt;0")+COUNTIF(USA!I15,"&gt;0")</f>
        <v>0</v>
      </c>
      <c r="J15" s="788">
        <f>COUNTIF(Austria!J15,"&gt;0")+COUNTIF('Czech Republic'!J15,"&gt;0")+COUNTIF(France!J15,"&gt;0")+COUNTIF(Finland!J15,"&gt;0")+COUNTIF(Germany!J15,"&gt;0")+COUNTIF(Lithuania!J15,"&gt;0")+COUNTIF(Netherlands!J15,"&gt;0")+COUNTIF(Norway!J15,"&gt;0")+COUNTIF(Slovenia!J15,"&gt;0")+COUNTIF(Sweden!J15,"&gt;0")+COUNTIF(Switzerland!J15,"&gt;0")+COUNTIF('United Kingdom'!J15,"&gt;0")+COUNTIF(Canada!J15,"&gt;0")+COUNTIF(USA!J15,"&gt;0")</f>
        <v>0</v>
      </c>
      <c r="K15" s="788">
        <f>COUNTIF(Austria!K15,"&gt;0")+COUNTIF('Czech Republic'!K15,"&gt;0")+COUNTIF(France!K15,"&gt;0")+COUNTIF(Finland!K15,"&gt;0")+COUNTIF(Germany!K15,"&gt;0")+COUNTIF(Lithuania!K15,"&gt;0")+COUNTIF(Netherlands!K15,"&gt;0")+COUNTIF(Norway!K15,"&gt;0")+COUNTIF(Slovenia!K15,"&gt;0")+COUNTIF(Sweden!K15,"&gt;0")+COUNTIF(Switzerland!K15,"&gt;0")+COUNTIF('United Kingdom'!K15,"&gt;0")+COUNTIF(Canada!K15,"&gt;0")+COUNTIF(USA!K15,"&gt;0")</f>
        <v>7</v>
      </c>
      <c r="L15" s="788">
        <f>COUNTIF(Austria!L15,"&gt;0")+COUNTIF('Czech Republic'!L15,"&gt;0")+COUNTIF(France!L15,"&gt;0")+COUNTIF(Finland!L15,"&gt;0")+COUNTIF(Germany!L15,"&gt;0")+COUNTIF(Lithuania!L15,"&gt;0")+COUNTIF(Netherlands!L15,"&gt;0")+COUNTIF(Norway!L15,"&gt;0")+COUNTIF(Slovenia!L15,"&gt;0")+COUNTIF(Sweden!L15,"&gt;0")+COUNTIF(Switzerland!L15,"&gt;0")+COUNTIF('United Kingdom'!L15,"&gt;0")+COUNTIF(Canada!L15,"&gt;0")+COUNTIF(USA!L15,"&gt;0")</f>
        <v>0</v>
      </c>
      <c r="M15" s="788">
        <f>COUNTIF(Austria!M15,"&gt;0")+COUNTIF('Czech Republic'!M15,"&gt;0")+COUNTIF(France!M15,"&gt;0")+COUNTIF(Finland!M15,"&gt;0")+COUNTIF(Germany!M15,"&gt;0")+COUNTIF(Lithuania!M15,"&gt;0")+COUNTIF(Netherlands!M15,"&gt;0")+COUNTIF(Norway!M15,"&gt;0")+COUNTIF(Slovenia!M15,"&gt;0")+COUNTIF(Sweden!M15,"&gt;0")+COUNTIF(Switzerland!M15,"&gt;0")+COUNTIF('United Kingdom'!M15,"&gt;0")+COUNTIF(Canada!M15,"&gt;0")+COUNTIF(USA!M15,"&gt;0")</f>
        <v>0</v>
      </c>
      <c r="N15" s="788">
        <f>COUNTIF(Austria!N15,"&gt;0")+COUNTIF('Czech Republic'!N15,"&gt;0")+COUNTIF(France!N15,"&gt;0")+COUNTIF(Finland!N15,"&gt;0")+COUNTIF(Germany!N15,"&gt;0")+COUNTIF(Lithuania!N15,"&gt;0")+COUNTIF(Netherlands!N15,"&gt;0")+COUNTIF(Norway!N15,"&gt;0")+COUNTIF(Slovenia!N15,"&gt;0")+COUNTIF(Sweden!N15,"&gt;0")+COUNTIF(Switzerland!N15,"&gt;0")+COUNTIF('United Kingdom'!N15,"&gt;0")+COUNTIF(Canada!N15,"&gt;0")+COUNTIF(USA!N15,"&gt;0")</f>
        <v>0</v>
      </c>
      <c r="O15" s="788">
        <f>COUNTIF(Austria!O15,"&gt;0")+COUNTIF('Czech Republic'!O15,"&gt;0")+COUNTIF(France!O15,"&gt;0")+COUNTIF(Finland!O15,"&gt;0")+COUNTIF(Germany!O15,"&gt;0")+COUNTIF(Lithuania!O15,"&gt;0")+COUNTIF(Netherlands!O15,"&gt;0")+COUNTIF(Norway!O15,"&gt;0")+COUNTIF(Slovenia!O15,"&gt;0")+COUNTIF(Sweden!O15,"&gt;0")+COUNTIF(Switzerland!O15,"&gt;0")+COUNTIF('United Kingdom'!O15,"&gt;0")+COUNTIF(Canada!O15,"&gt;0")+COUNTIF(USA!O15,"&gt;0")</f>
        <v>0</v>
      </c>
      <c r="P15" s="788">
        <f>COUNTIF(Austria!P15,"&gt;0")+COUNTIF('Czech Republic'!P15,"&gt;0")+COUNTIF(France!P15,"&gt;0")+COUNTIF(Finland!P15,"&gt;0")+COUNTIF(Germany!P15,"&gt;0")+COUNTIF(Lithuania!P15,"&gt;0")+COUNTIF(Netherlands!P15,"&gt;0")+COUNTIF(Norway!P15,"&gt;0")+COUNTIF(Slovenia!P15,"&gt;0")+COUNTIF(Sweden!P15,"&gt;0")+COUNTIF(Switzerland!P15,"&gt;0")+COUNTIF('United Kingdom'!P15,"&gt;0")+COUNTIF(Canada!P15,"&gt;0")+COUNTIF(USA!P15,"&gt;0")</f>
        <v>0</v>
      </c>
      <c r="Q15" s="788">
        <f>COUNTIF(Austria!Q15,"&gt;0")+COUNTIF('Czech Republic'!Q15,"&gt;0")+COUNTIF(France!Q15,"&gt;0")+COUNTIF(Finland!Q15,"&gt;0")+COUNTIF(Germany!Q15,"&gt;0")+COUNTIF(Lithuania!Q15,"&gt;0")+COUNTIF(Netherlands!Q15,"&gt;0")+COUNTIF(Norway!Q15,"&gt;0")+COUNTIF(Slovenia!Q15,"&gt;0")+COUNTIF(Sweden!Q15,"&gt;0")+COUNTIF(Switzerland!Q15,"&gt;0")+COUNTIF('United Kingdom'!Q15,"&gt;0")+COUNTIF(Canada!Q15,"&gt;0")+COUNTIF(USA!Q15,"&gt;0")</f>
        <v>0</v>
      </c>
      <c r="R15" s="788">
        <f>COUNTIF(Austria!R15,"&gt;0")+COUNTIF('Czech Republic'!R15,"&gt;0")+COUNTIF(France!R15,"&gt;0")+COUNTIF(Finland!R15,"&gt;0")+COUNTIF(Germany!R15,"&gt;0")+COUNTIF(Lithuania!R15,"&gt;0")+COUNTIF(Netherlands!R15,"&gt;0")+COUNTIF(Norway!R15,"&gt;0")+COUNTIF(Slovenia!R15,"&gt;0")+COUNTIF(Sweden!R15,"&gt;0")+COUNTIF(Switzerland!R15,"&gt;0")+COUNTIF('United Kingdom'!R15,"&gt;0")+COUNTIF(Canada!R15,"&gt;0")+COUNTIF(USA!R15,"&gt;0")</f>
        <v>0</v>
      </c>
      <c r="S15" s="788">
        <f>COUNTIF(Austria!S15,"&gt;0")+COUNTIF('Czech Republic'!S15,"&gt;0")+COUNTIF(France!S15,"&gt;0")+COUNTIF(Finland!S15,"&gt;0")+COUNTIF(Germany!S15,"&gt;0")+COUNTIF(Lithuania!S15,"&gt;0")+COUNTIF(Netherlands!S15,"&gt;0")+COUNTIF(Norway!S15,"&gt;0")+COUNTIF(Slovenia!S15,"&gt;0")+COUNTIF(Sweden!S15,"&gt;0")+COUNTIF(Switzerland!S15,"&gt;0")+COUNTIF('United Kingdom'!S15,"&gt;0")+COUNTIF(Canada!S15,"&gt;0")+COUNTIF(USA!S15,"&gt;0")</f>
        <v>3</v>
      </c>
      <c r="T15" s="788">
        <f>COUNTIF(Austria!T15,"&gt;0")+COUNTIF('Czech Republic'!T15,"&gt;0")+COUNTIF(France!T15,"&gt;0")+COUNTIF(Finland!T15,"&gt;0")+COUNTIF(Germany!T15,"&gt;0")+COUNTIF(Lithuania!T15,"&gt;0")+COUNTIF(Netherlands!T15,"&gt;0")+COUNTIF(Norway!T15,"&gt;0")+COUNTIF(Slovenia!T15,"&gt;0")+COUNTIF(Sweden!T15,"&gt;0")+COUNTIF(Switzerland!T15,"&gt;0")+COUNTIF('United Kingdom'!T15,"&gt;0")+COUNTIF(Canada!T15,"&gt;0")+COUNTIF(USA!T15,"&gt;0")</f>
        <v>1</v>
      </c>
      <c r="U15" s="788">
        <f>COUNTIF(Austria!U15,"&gt;0")+COUNTIF('Czech Republic'!U15,"&gt;0")+COUNTIF(France!U15,"&gt;0")+COUNTIF(Finland!U15,"&gt;0")+COUNTIF(Germany!U15,"&gt;0")+COUNTIF(Lithuania!U15,"&gt;0")+COUNTIF(Netherlands!U15,"&gt;0")+COUNTIF(Norway!U15,"&gt;0")+COUNTIF(Slovenia!U15,"&gt;0")+COUNTIF(Sweden!U15,"&gt;0")+COUNTIF(Switzerland!U15,"&gt;0")+COUNTIF('United Kingdom'!U15,"&gt;0")+COUNTIF(Canada!U15,"&gt;0")+COUNTIF(USA!U15,"&gt;0")</f>
        <v>1</v>
      </c>
      <c r="V15" s="788">
        <f>COUNTIF(Austria!V15,"&gt;0")+COUNTIF('Czech Republic'!V15,"&gt;0")+COUNTIF(France!V15,"&gt;0")+COUNTIF(Finland!V15,"&gt;0")+COUNTIF(Germany!V15,"&gt;0")+COUNTIF(Lithuania!V15,"&gt;0")+COUNTIF(Netherlands!V15,"&gt;0")+COUNTIF(Norway!V15,"&gt;0")+COUNTIF(Slovenia!V15,"&gt;0")+COUNTIF(Sweden!V15,"&gt;0")+COUNTIF(Switzerland!V15,"&gt;0")+COUNTIF('United Kingdom'!V15,"&gt;0")+COUNTIF(Canada!V15,"&gt;0")+COUNTIF(USA!V15,"&gt;0")</f>
        <v>4</v>
      </c>
      <c r="W15" s="788">
        <f>COUNTIF(Austria!W15,"&gt;0")+COUNTIF('Czech Republic'!W15,"&gt;0")+COUNTIF(France!W15,"&gt;0")+COUNTIF(Finland!W15,"&gt;0")+COUNTIF(Germany!W15,"&gt;0")+COUNTIF(Lithuania!W15,"&gt;0")+COUNTIF(Netherlands!W15,"&gt;0")+COUNTIF(Norway!W15,"&gt;0")+COUNTIF(Slovenia!W15,"&gt;0")+COUNTIF(Sweden!W15,"&gt;0")+COUNTIF(Switzerland!W15,"&gt;0")+COUNTIF('United Kingdom'!W15,"&gt;0")+COUNTIF(Canada!W15,"&gt;0")+COUNTIF(USA!W15,"&gt;0")</f>
        <v>1</v>
      </c>
      <c r="X15" s="788">
        <f>COUNTIF(Austria!X15,"&gt;0")+COUNTIF('Czech Republic'!X15,"&gt;0")+COUNTIF(France!X15,"&gt;0")+COUNTIF(Finland!X15,"&gt;0")+COUNTIF(Germany!X15,"&gt;0")+COUNTIF(Lithuania!X15,"&gt;0")+COUNTIF(Netherlands!X15,"&gt;0")+COUNTIF(Norway!X15,"&gt;0")+COUNTIF(Slovenia!X15,"&gt;0")+COUNTIF(Sweden!X15,"&gt;0")+COUNTIF(Switzerland!X15,"&gt;0")+COUNTIF('United Kingdom'!X15,"&gt;0")+COUNTIF(Canada!X15,"&gt;0")+COUNTIF(USA!X15,"&gt;0")</f>
        <v>1</v>
      </c>
      <c r="Y15" s="788">
        <f>COUNTIF(Austria!Y15,"&gt;0")+COUNTIF('Czech Republic'!Y15,"&gt;0")+COUNTIF(France!Y15,"&gt;0")+COUNTIF(Finland!Y15,"&gt;0")+COUNTIF(Germany!Y15,"&gt;0")+COUNTIF(Lithuania!Y15,"&gt;0")+COUNTIF(Netherlands!Y15,"&gt;0")+COUNTIF(Norway!Y15,"&gt;0")+COUNTIF(Slovenia!Y15,"&gt;0")+COUNTIF(Sweden!Y15,"&gt;0")+COUNTIF(Switzerland!Y15,"&gt;0")+COUNTIF('United Kingdom'!Y15,"&gt;0")+COUNTIF(Canada!Y15,"&gt;0")+COUNTIF(USA!Y15,"&gt;0")</f>
        <v>1</v>
      </c>
      <c r="Z15" s="788">
        <f>COUNTIF(Austria!Z15,"&gt;0")+COUNTIF('Czech Republic'!Z15,"&gt;0")+COUNTIF(France!Z15,"&gt;0")+COUNTIF(Finland!Z15,"&gt;0")+COUNTIF(Germany!Z15,"&gt;0")+COUNTIF(Lithuania!Z15,"&gt;0")+COUNTIF(Netherlands!Z15,"&gt;0")+COUNTIF(Norway!Z15,"&gt;0")+COUNTIF(Slovenia!Z15,"&gt;0")+COUNTIF(Sweden!Z15,"&gt;0")+COUNTIF(Switzerland!Z15,"&gt;0")+COUNTIF('United Kingdom'!Z15,"&gt;0")+COUNTIF(Canada!Z15,"&gt;0")+COUNTIF(USA!Z15,"&gt;0")</f>
        <v>1</v>
      </c>
      <c r="AA15" s="788">
        <f>COUNTIF(Austria!AA15,"&gt;0")+COUNTIF('Czech Republic'!AA15,"&gt;0")+COUNTIF(France!AA15,"&gt;0")+COUNTIF(Finland!AA15,"&gt;0")+COUNTIF(Germany!AA15,"&gt;0")+COUNTIF(Lithuania!AA15,"&gt;0")+COUNTIF(Netherlands!AA15,"&gt;0")+COUNTIF(Norway!AA15,"&gt;0")+COUNTIF(Slovenia!AA15,"&gt;0")+COUNTIF(Sweden!AA15,"&gt;0")+COUNTIF(Switzerland!AA15,"&gt;0")+COUNTIF('United Kingdom'!AA15,"&gt;0")+COUNTIF(Canada!AA15,"&gt;0")+COUNTIF(USA!AA15,"&gt;0")</f>
        <v>1</v>
      </c>
      <c r="AB15" s="788">
        <f>COUNTIF(Austria!AB15,"&gt;0")+COUNTIF('Czech Republic'!AB15,"&gt;0")+COUNTIF(France!AB15,"&gt;0")+COUNTIF(Finland!AB15,"&gt;0")+COUNTIF(Germany!AB15,"&gt;0")+COUNTIF(Lithuania!AB15,"&gt;0")+COUNTIF(Netherlands!AB15,"&gt;0")+COUNTIF(Norway!AB15,"&gt;0")+COUNTIF(Slovenia!AB15,"&gt;0")+COUNTIF(Sweden!AB15,"&gt;0")+COUNTIF(Switzerland!AB15,"&gt;0")+COUNTIF('United Kingdom'!AB15,"&gt;0")+COUNTIF(Canada!AB15,"&gt;0")+COUNTIF(USA!AB15,"&gt;0")</f>
        <v>1</v>
      </c>
      <c r="AC15" s="788">
        <f>COUNTIF(Austria!AC15,"&gt;0")+COUNTIF('Czech Republic'!AC15,"&gt;0")+COUNTIF(France!AC15,"&gt;0")+COUNTIF(Finland!AC15,"&gt;0")+COUNTIF(Germany!AC15,"&gt;0")+COUNTIF(Lithuania!AC15,"&gt;0")+COUNTIF(Netherlands!AC15,"&gt;0")+COUNTIF(Norway!AC15,"&gt;0")+COUNTIF(Slovenia!AC15,"&gt;0")+COUNTIF(Sweden!AC15,"&gt;0")+COUNTIF(Switzerland!AC15,"&gt;0")+COUNTIF('United Kingdom'!AC15,"&gt;0")+COUNTIF(Canada!AC15,"&gt;0")+COUNTIF(USA!AC15,"&gt;0")</f>
        <v>2</v>
      </c>
      <c r="AD15" s="788">
        <f>COUNTIF(Austria!AD15,"&gt;0")+COUNTIF('Czech Republic'!AD15,"&gt;0")+COUNTIF(France!AD15,"&gt;0")+COUNTIF(Finland!AD15,"&gt;0")+COUNTIF(Germany!AD15,"&gt;0")+COUNTIF(Lithuania!AD15,"&gt;0")+COUNTIF(Netherlands!AD15,"&gt;0")+COUNTIF(Norway!AD15,"&gt;0")+COUNTIF(Slovenia!AD15,"&gt;0")+COUNTIF(Sweden!AD15,"&gt;0")+COUNTIF(Switzerland!AD15,"&gt;0")+COUNTIF('United Kingdom'!AD15,"&gt;0")+COUNTIF(Canada!AD15,"&gt;0")+COUNTIF(USA!AD15,"&gt;0")</f>
        <v>0</v>
      </c>
      <c r="AE15" s="788">
        <f>COUNTIF(Austria!AE15,"&gt;0")+COUNTIF('Czech Republic'!AE15,"&gt;0")+COUNTIF(France!AE15,"&gt;0")+COUNTIF(Finland!AE15,"&gt;0")+COUNTIF(Germany!AE15,"&gt;0")+COUNTIF(Lithuania!AE15,"&gt;0")+COUNTIF(Netherlands!AE15,"&gt;0")+COUNTIF(Norway!AE15,"&gt;0")+COUNTIF(Slovenia!AE15,"&gt;0")+COUNTIF(Sweden!AE15,"&gt;0")+COUNTIF(Switzerland!AE15,"&gt;0")+COUNTIF('United Kingdom'!AE15,"&gt;0")+COUNTIF(Canada!AE15,"&gt;0")+COUNTIF(USA!AE15,"&gt;0")</f>
        <v>0</v>
      </c>
      <c r="AF15" s="788">
        <f>COUNTIF(Austria!AF15,"&gt;0")+COUNTIF('Czech Republic'!AF15,"&gt;0")+COUNTIF(France!AF15,"&gt;0")+COUNTIF(Finland!AF15,"&gt;0")+COUNTIF(Germany!AF15,"&gt;0")+COUNTIF(Lithuania!AF15,"&gt;0")+COUNTIF(Netherlands!AF15,"&gt;0")+COUNTIF(Norway!AF15,"&gt;0")+COUNTIF(Slovenia!AF15,"&gt;0")+COUNTIF(Sweden!AF15,"&gt;0")+COUNTIF(Switzerland!AF15,"&gt;0")+COUNTIF('United Kingdom'!AF15,"&gt;0")+COUNTIF(Canada!AF15,"&gt;0")+COUNTIF(USA!AF15,"&gt;0")</f>
        <v>2</v>
      </c>
      <c r="AG15" s="127"/>
      <c r="AH15" s="51" t="s">
        <v>74</v>
      </c>
    </row>
    <row r="16" spans="3:34" ht="38.25" customHeight="1" thickBot="1">
      <c r="C16" s="60" t="s">
        <v>77</v>
      </c>
      <c r="D16" s="5"/>
      <c r="E16" s="1391"/>
      <c r="F16" s="61" t="s">
        <v>78</v>
      </c>
      <c r="G16" s="80" t="s">
        <v>119</v>
      </c>
      <c r="H16" s="788">
        <f>COUNTIF(Austria!H16,"&gt;0")+COUNTIF('Czech Republic'!H16,"&gt;0")+COUNTIF(France!H16,"&gt;0")+COUNTIF(Finland!H16,"&gt;0")+COUNTIF(Germany!H16,"&gt;0")+COUNTIF(Lithuania!H16,"&gt;0")+COUNTIF(Netherlands!H16,"&gt;0")+COUNTIF(Norway!H16,"&gt;0")+COUNTIF(Slovenia!H16,"&gt;0")+COUNTIF(Sweden!H16,"&gt;0")+COUNTIF(Switzerland!H16,"&gt;0")+COUNTIF('United Kingdom'!H16,"&gt;0")+COUNTIF(Canada!H16,"&gt;0")+COUNTIF(USA!H16,"&gt;0")</f>
        <v>3</v>
      </c>
      <c r="I16" s="788">
        <f>COUNTIF(Austria!I16,"&gt;0")+COUNTIF('Czech Republic'!I16,"&gt;0")+COUNTIF(France!I16,"&gt;0")+COUNTIF(Finland!I16,"&gt;0")+COUNTIF(Germany!I16,"&gt;0")+COUNTIF(Lithuania!I16,"&gt;0")+COUNTIF(Netherlands!I16,"&gt;0")+COUNTIF(Norway!I16,"&gt;0")+COUNTIF(Slovenia!I16,"&gt;0")+COUNTIF(Sweden!I16,"&gt;0")+COUNTIF(Switzerland!I16,"&gt;0")+COUNTIF('United Kingdom'!I16,"&gt;0")+COUNTIF(Canada!I16,"&gt;0")+COUNTIF(USA!I16,"&gt;0")</f>
        <v>0</v>
      </c>
      <c r="J16" s="788">
        <f>COUNTIF(Austria!J16,"&gt;0")+COUNTIF('Czech Republic'!J16,"&gt;0")+COUNTIF(France!J16,"&gt;0")+COUNTIF(Finland!J16,"&gt;0")+COUNTIF(Germany!J16,"&gt;0")+COUNTIF(Lithuania!J16,"&gt;0")+COUNTIF(Netherlands!J16,"&gt;0")+COUNTIF(Norway!J16,"&gt;0")+COUNTIF(Slovenia!J16,"&gt;0")+COUNTIF(Sweden!J16,"&gt;0")+COUNTIF(Switzerland!J16,"&gt;0")+COUNTIF('United Kingdom'!J16,"&gt;0")+COUNTIF(Canada!J16,"&gt;0")+COUNTIF(USA!J16,"&gt;0")</f>
        <v>0</v>
      </c>
      <c r="K16" s="788">
        <f>COUNTIF(Austria!K16,"&gt;0")+COUNTIF('Czech Republic'!K16,"&gt;0")+COUNTIF(France!K16,"&gt;0")+COUNTIF(Finland!K16,"&gt;0")+COUNTIF(Germany!K16,"&gt;0")+COUNTIF(Lithuania!K16,"&gt;0")+COUNTIF(Netherlands!K16,"&gt;0")+COUNTIF(Norway!K16,"&gt;0")+COUNTIF(Slovenia!K16,"&gt;0")+COUNTIF(Sweden!K16,"&gt;0")+COUNTIF(Switzerland!K16,"&gt;0")+COUNTIF('United Kingdom'!K16,"&gt;0")+COUNTIF(Canada!K16,"&gt;0")+COUNTIF(USA!K16,"&gt;0")</f>
        <v>3</v>
      </c>
      <c r="L16" s="788">
        <f>COUNTIF(Austria!L16,"&gt;0")+COUNTIF('Czech Republic'!L16,"&gt;0")+COUNTIF(France!L16,"&gt;0")+COUNTIF(Finland!L16,"&gt;0")+COUNTIF(Germany!L16,"&gt;0")+COUNTIF(Lithuania!L16,"&gt;0")+COUNTIF(Netherlands!L16,"&gt;0")+COUNTIF(Norway!L16,"&gt;0")+COUNTIF(Slovenia!L16,"&gt;0")+COUNTIF(Sweden!L16,"&gt;0")+COUNTIF(Switzerland!L16,"&gt;0")+COUNTIF('United Kingdom'!L16,"&gt;0")+COUNTIF(Canada!L16,"&gt;0")+COUNTIF(USA!L16,"&gt;0")</f>
        <v>0</v>
      </c>
      <c r="M16" s="788">
        <f>COUNTIF(Austria!M16,"&gt;0")+COUNTIF('Czech Republic'!M16,"&gt;0")+COUNTIF(France!M16,"&gt;0")+COUNTIF(Finland!M16,"&gt;0")+COUNTIF(Germany!M16,"&gt;0")+COUNTIF(Lithuania!M16,"&gt;0")+COUNTIF(Netherlands!M16,"&gt;0")+COUNTIF(Norway!M16,"&gt;0")+COUNTIF(Slovenia!M16,"&gt;0")+COUNTIF(Sweden!M16,"&gt;0")+COUNTIF(Switzerland!M16,"&gt;0")+COUNTIF('United Kingdom'!M16,"&gt;0")+COUNTIF(Canada!M16,"&gt;0")+COUNTIF(USA!M16,"&gt;0")</f>
        <v>0</v>
      </c>
      <c r="N16" s="788">
        <f>COUNTIF(Austria!N16,"&gt;0")+COUNTIF('Czech Republic'!N16,"&gt;0")+COUNTIF(France!N16,"&gt;0")+COUNTIF(Finland!N16,"&gt;0")+COUNTIF(Germany!N16,"&gt;0")+COUNTIF(Lithuania!N16,"&gt;0")+COUNTIF(Netherlands!N16,"&gt;0")+COUNTIF(Norway!N16,"&gt;0")+COUNTIF(Slovenia!N16,"&gt;0")+COUNTIF(Sweden!N16,"&gt;0")+COUNTIF(Switzerland!N16,"&gt;0")+COUNTIF('United Kingdom'!N16,"&gt;0")+COUNTIF(Canada!N16,"&gt;0")+COUNTIF(USA!N16,"&gt;0")</f>
        <v>0</v>
      </c>
      <c r="O16" s="788">
        <f>COUNTIF(Austria!O16,"&gt;0")+COUNTIF('Czech Republic'!O16,"&gt;0")+COUNTIF(France!O16,"&gt;0")+COUNTIF(Finland!O16,"&gt;0")+COUNTIF(Germany!O16,"&gt;0")+COUNTIF(Lithuania!O16,"&gt;0")+COUNTIF(Netherlands!O16,"&gt;0")+COUNTIF(Norway!O16,"&gt;0")+COUNTIF(Slovenia!O16,"&gt;0")+COUNTIF(Sweden!O16,"&gt;0")+COUNTIF(Switzerland!O16,"&gt;0")+COUNTIF('United Kingdom'!O16,"&gt;0")+COUNTIF(Canada!O16,"&gt;0")+COUNTIF(USA!O16,"&gt;0")</f>
        <v>0</v>
      </c>
      <c r="P16" s="788">
        <f>COUNTIF(Austria!P16,"&gt;0")+COUNTIF('Czech Republic'!P16,"&gt;0")+COUNTIF(France!P16,"&gt;0")+COUNTIF(Finland!P16,"&gt;0")+COUNTIF(Germany!P16,"&gt;0")+COUNTIF(Lithuania!P16,"&gt;0")+COUNTIF(Netherlands!P16,"&gt;0")+COUNTIF(Norway!P16,"&gt;0")+COUNTIF(Slovenia!P16,"&gt;0")+COUNTIF(Sweden!P16,"&gt;0")+COUNTIF(Switzerland!P16,"&gt;0")+COUNTIF('United Kingdom'!P16,"&gt;0")+COUNTIF(Canada!P16,"&gt;0")+COUNTIF(USA!P16,"&gt;0")</f>
        <v>0</v>
      </c>
      <c r="Q16" s="788">
        <f>COUNTIF(Austria!Q16,"&gt;0")+COUNTIF('Czech Republic'!Q16,"&gt;0")+COUNTIF(France!Q16,"&gt;0")+COUNTIF(Finland!Q16,"&gt;0")+COUNTIF(Germany!Q16,"&gt;0")+COUNTIF(Lithuania!Q16,"&gt;0")+COUNTIF(Netherlands!Q16,"&gt;0")+COUNTIF(Norway!Q16,"&gt;0")+COUNTIF(Slovenia!Q16,"&gt;0")+COUNTIF(Sweden!Q16,"&gt;0")+COUNTIF(Switzerland!Q16,"&gt;0")+COUNTIF('United Kingdom'!Q16,"&gt;0")+COUNTIF(Canada!Q16,"&gt;0")+COUNTIF(USA!Q16,"&gt;0")</f>
        <v>0</v>
      </c>
      <c r="R16" s="788">
        <f>COUNTIF(Austria!R16,"&gt;0")+COUNTIF('Czech Republic'!R16,"&gt;0")+COUNTIF(France!R16,"&gt;0")+COUNTIF(Finland!R16,"&gt;0")+COUNTIF(Germany!R16,"&gt;0")+COUNTIF(Lithuania!R16,"&gt;0")+COUNTIF(Netherlands!R16,"&gt;0")+COUNTIF(Norway!R16,"&gt;0")+COUNTIF(Slovenia!R16,"&gt;0")+COUNTIF(Sweden!R16,"&gt;0")+COUNTIF(Switzerland!R16,"&gt;0")+COUNTIF('United Kingdom'!R16,"&gt;0")+COUNTIF(Canada!R16,"&gt;0")+COUNTIF(USA!R16,"&gt;0")</f>
        <v>0</v>
      </c>
      <c r="S16" s="788">
        <f>COUNTIF(Austria!S16,"&gt;0")+COUNTIF('Czech Republic'!S16,"&gt;0")+COUNTIF(France!S16,"&gt;0")+COUNTIF(Finland!S16,"&gt;0")+COUNTIF(Germany!S16,"&gt;0")+COUNTIF(Lithuania!S16,"&gt;0")+COUNTIF(Netherlands!S16,"&gt;0")+COUNTIF(Norway!S16,"&gt;0")+COUNTIF(Slovenia!S16,"&gt;0")+COUNTIF(Sweden!S16,"&gt;0")+COUNTIF(Switzerland!S16,"&gt;0")+COUNTIF('United Kingdom'!S16,"&gt;0")+COUNTIF(Canada!S16,"&gt;0")+COUNTIF(USA!S16,"&gt;0")</f>
        <v>1</v>
      </c>
      <c r="T16" s="788">
        <f>COUNTIF(Austria!T16,"&gt;0")+COUNTIF('Czech Republic'!T16,"&gt;0")+COUNTIF(France!T16,"&gt;0")+COUNTIF(Finland!T16,"&gt;0")+COUNTIF(Germany!T16,"&gt;0")+COUNTIF(Lithuania!T16,"&gt;0")+COUNTIF(Netherlands!T16,"&gt;0")+COUNTIF(Norway!T16,"&gt;0")+COUNTIF(Slovenia!T16,"&gt;0")+COUNTIF(Sweden!T16,"&gt;0")+COUNTIF(Switzerland!T16,"&gt;0")+COUNTIF('United Kingdom'!T16,"&gt;0")+COUNTIF(Canada!T16,"&gt;0")+COUNTIF(USA!T16,"&gt;0")</f>
        <v>1</v>
      </c>
      <c r="U16" s="788">
        <f>COUNTIF(Austria!U16,"&gt;0")+COUNTIF('Czech Republic'!U16,"&gt;0")+COUNTIF(France!U16,"&gt;0")+COUNTIF(Finland!U16,"&gt;0")+COUNTIF(Germany!U16,"&gt;0")+COUNTIF(Lithuania!U16,"&gt;0")+COUNTIF(Netherlands!U16,"&gt;0")+COUNTIF(Norway!U16,"&gt;0")+COUNTIF(Slovenia!U16,"&gt;0")+COUNTIF(Sweden!U16,"&gt;0")+COUNTIF(Switzerland!U16,"&gt;0")+COUNTIF('United Kingdom'!U16,"&gt;0")+COUNTIF(Canada!U16,"&gt;0")+COUNTIF(USA!U16,"&gt;0")</f>
        <v>1</v>
      </c>
      <c r="V16" s="788">
        <f>COUNTIF(Austria!V16,"&gt;0")+COUNTIF('Czech Republic'!V16,"&gt;0")+COUNTIF(France!V16,"&gt;0")+COUNTIF(Finland!V16,"&gt;0")+COUNTIF(Germany!V16,"&gt;0")+COUNTIF(Lithuania!V16,"&gt;0")+COUNTIF(Netherlands!V16,"&gt;0")+COUNTIF(Norway!V16,"&gt;0")+COUNTIF(Slovenia!V16,"&gt;0")+COUNTIF(Sweden!V16,"&gt;0")+COUNTIF(Switzerland!V16,"&gt;0")+COUNTIF('United Kingdom'!V16,"&gt;0")+COUNTIF(Canada!V16,"&gt;0")+COUNTIF(USA!V16,"&gt;0")</f>
        <v>1</v>
      </c>
      <c r="W16" s="788">
        <f>COUNTIF(Austria!W16,"&gt;0")+COUNTIF('Czech Republic'!W16,"&gt;0")+COUNTIF(France!W16,"&gt;0")+COUNTIF(Finland!W16,"&gt;0")+COUNTIF(Germany!W16,"&gt;0")+COUNTIF(Lithuania!W16,"&gt;0")+COUNTIF(Netherlands!W16,"&gt;0")+COUNTIF(Norway!W16,"&gt;0")+COUNTIF(Slovenia!W16,"&gt;0")+COUNTIF(Sweden!W16,"&gt;0")+COUNTIF(Switzerland!W16,"&gt;0")+COUNTIF('United Kingdom'!W16,"&gt;0")+COUNTIF(Canada!W16,"&gt;0")+COUNTIF(USA!W16,"&gt;0")</f>
        <v>1</v>
      </c>
      <c r="X16" s="788">
        <f>COUNTIF(Austria!X16,"&gt;0")+COUNTIF('Czech Republic'!X16,"&gt;0")+COUNTIF(France!X16,"&gt;0")+COUNTIF(Finland!X16,"&gt;0")+COUNTIF(Germany!X16,"&gt;0")+COUNTIF(Lithuania!X16,"&gt;0")+COUNTIF(Netherlands!X16,"&gt;0")+COUNTIF(Norway!X16,"&gt;0")+COUNTIF(Slovenia!X16,"&gt;0")+COUNTIF(Sweden!X16,"&gt;0")+COUNTIF(Switzerland!X16,"&gt;0")+COUNTIF('United Kingdom'!X16,"&gt;0")+COUNTIF(Canada!X16,"&gt;0")+COUNTIF(USA!X16,"&gt;0")</f>
        <v>1</v>
      </c>
      <c r="Y16" s="788">
        <f>COUNTIF(Austria!Y16,"&gt;0")+COUNTIF('Czech Republic'!Y16,"&gt;0")+COUNTIF(France!Y16,"&gt;0")+COUNTIF(Finland!Y16,"&gt;0")+COUNTIF(Germany!Y16,"&gt;0")+COUNTIF(Lithuania!Y16,"&gt;0")+COUNTIF(Netherlands!Y16,"&gt;0")+COUNTIF(Norway!Y16,"&gt;0")+COUNTIF(Slovenia!Y16,"&gt;0")+COUNTIF(Sweden!Y16,"&gt;0")+COUNTIF(Switzerland!Y16,"&gt;0")+COUNTIF('United Kingdom'!Y16,"&gt;0")+COUNTIF(Canada!Y16,"&gt;0")+COUNTIF(USA!Y16,"&gt;0")</f>
        <v>1</v>
      </c>
      <c r="Z16" s="788">
        <f>COUNTIF(Austria!Z16,"&gt;0")+COUNTIF('Czech Republic'!Z16,"&gt;0")+COUNTIF(France!Z16,"&gt;0")+COUNTIF(Finland!Z16,"&gt;0")+COUNTIF(Germany!Z16,"&gt;0")+COUNTIF(Lithuania!Z16,"&gt;0")+COUNTIF(Netherlands!Z16,"&gt;0")+COUNTIF(Norway!Z16,"&gt;0")+COUNTIF(Slovenia!Z16,"&gt;0")+COUNTIF(Sweden!Z16,"&gt;0")+COUNTIF(Switzerland!Z16,"&gt;0")+COUNTIF('United Kingdom'!Z16,"&gt;0")+COUNTIF(Canada!Z16,"&gt;0")+COUNTIF(USA!Z16,"&gt;0")</f>
        <v>1</v>
      </c>
      <c r="AA16" s="788">
        <f>COUNTIF(Austria!AA16,"&gt;0")+COUNTIF('Czech Republic'!AA16,"&gt;0")+COUNTIF(France!AA16,"&gt;0")+COUNTIF(Finland!AA16,"&gt;0")+COUNTIF(Germany!AA16,"&gt;0")+COUNTIF(Lithuania!AA16,"&gt;0")+COUNTIF(Netherlands!AA16,"&gt;0")+COUNTIF(Norway!AA16,"&gt;0")+COUNTIF(Slovenia!AA16,"&gt;0")+COUNTIF(Sweden!AA16,"&gt;0")+COUNTIF(Switzerland!AA16,"&gt;0")+COUNTIF('United Kingdom'!AA16,"&gt;0")+COUNTIF(Canada!AA16,"&gt;0")+COUNTIF(USA!AA16,"&gt;0")</f>
        <v>1</v>
      </c>
      <c r="AB16" s="788">
        <f>COUNTIF(Austria!AB16,"&gt;0")+COUNTIF('Czech Republic'!AB16,"&gt;0")+COUNTIF(France!AB16,"&gt;0")+COUNTIF(Finland!AB16,"&gt;0")+COUNTIF(Germany!AB16,"&gt;0")+COUNTIF(Lithuania!AB16,"&gt;0")+COUNTIF(Netherlands!AB16,"&gt;0")+COUNTIF(Norway!AB16,"&gt;0")+COUNTIF(Slovenia!AB16,"&gt;0")+COUNTIF(Sweden!AB16,"&gt;0")+COUNTIF(Switzerland!AB16,"&gt;0")+COUNTIF('United Kingdom'!AB16,"&gt;0")+COUNTIF(Canada!AB16,"&gt;0")+COUNTIF(USA!AB16,"&gt;0")</f>
        <v>1</v>
      </c>
      <c r="AC16" s="788">
        <f>COUNTIF(Austria!AC16,"&gt;0")+COUNTIF('Czech Republic'!AC16,"&gt;0")+COUNTIF(France!AC16,"&gt;0")+COUNTIF(Finland!AC16,"&gt;0")+COUNTIF(Germany!AC16,"&gt;0")+COUNTIF(Lithuania!AC16,"&gt;0")+COUNTIF(Netherlands!AC16,"&gt;0")+COUNTIF(Norway!AC16,"&gt;0")+COUNTIF(Slovenia!AC16,"&gt;0")+COUNTIF(Sweden!AC16,"&gt;0")+COUNTIF(Switzerland!AC16,"&gt;0")+COUNTIF('United Kingdom'!AC16,"&gt;0")+COUNTIF(Canada!AC16,"&gt;0")+COUNTIF(USA!AC16,"&gt;0")</f>
        <v>1</v>
      </c>
      <c r="AD16" s="788">
        <f>COUNTIF(Austria!AD16,"&gt;0")+COUNTIF('Czech Republic'!AD16,"&gt;0")+COUNTIF(France!AD16,"&gt;0")+COUNTIF(Finland!AD16,"&gt;0")+COUNTIF(Germany!AD16,"&gt;0")+COUNTIF(Lithuania!AD16,"&gt;0")+COUNTIF(Netherlands!AD16,"&gt;0")+COUNTIF(Norway!AD16,"&gt;0")+COUNTIF(Slovenia!AD16,"&gt;0")+COUNTIF(Sweden!AD16,"&gt;0")+COUNTIF(Switzerland!AD16,"&gt;0")+COUNTIF('United Kingdom'!AD16,"&gt;0")+COUNTIF(Canada!AD16,"&gt;0")+COUNTIF(USA!AD16,"&gt;0")</f>
        <v>0</v>
      </c>
      <c r="AE16" s="788">
        <f>COUNTIF(Austria!AE16,"&gt;0")+COUNTIF('Czech Republic'!AE16,"&gt;0")+COUNTIF(France!AE16,"&gt;0")+COUNTIF(Finland!AE16,"&gt;0")+COUNTIF(Germany!AE16,"&gt;0")+COUNTIF(Lithuania!AE16,"&gt;0")+COUNTIF(Netherlands!AE16,"&gt;0")+COUNTIF(Norway!AE16,"&gt;0")+COUNTIF(Slovenia!AE16,"&gt;0")+COUNTIF(Sweden!AE16,"&gt;0")+COUNTIF(Switzerland!AE16,"&gt;0")+COUNTIF('United Kingdom'!AE16,"&gt;0")+COUNTIF(Canada!AE16,"&gt;0")+COUNTIF(USA!AE16,"&gt;0")</f>
        <v>1</v>
      </c>
      <c r="AF16" s="788">
        <f>COUNTIF(Austria!AF16,"&gt;0")+COUNTIF('Czech Republic'!AF16,"&gt;0")+COUNTIF(France!AF16,"&gt;0")+COUNTIF(Finland!AF16,"&gt;0")+COUNTIF(Germany!AF16,"&gt;0")+COUNTIF(Lithuania!AF16,"&gt;0")+COUNTIF(Netherlands!AF16,"&gt;0")+COUNTIF(Norway!AF16,"&gt;0")+COUNTIF(Slovenia!AF16,"&gt;0")+COUNTIF(Sweden!AF16,"&gt;0")+COUNTIF(Switzerland!AF16,"&gt;0")+COUNTIF('United Kingdom'!AF16,"&gt;0")+COUNTIF(Canada!AF16,"&gt;0")+COUNTIF(USA!AF16,"&gt;0")</f>
        <v>2</v>
      </c>
      <c r="AG16" s="127"/>
      <c r="AH16" s="60" t="s">
        <v>77</v>
      </c>
    </row>
    <row r="17" spans="3:34" ht="38.25" customHeight="1" thickBot="1">
      <c r="C17" s="51" t="s">
        <v>80</v>
      </c>
      <c r="D17" s="5"/>
      <c r="E17" s="1391"/>
      <c r="F17" s="61" t="s">
        <v>81</v>
      </c>
      <c r="G17" s="80" t="s">
        <v>119</v>
      </c>
      <c r="H17" s="788">
        <f>COUNTIF(Austria!H17,"&gt;0")+COUNTIF('Czech Republic'!H17,"&gt;0")+COUNTIF(France!H17,"&gt;0")+COUNTIF(Finland!H17,"&gt;0")+COUNTIF(Germany!H17,"&gt;0")+COUNTIF(Lithuania!H17,"&gt;0")+COUNTIF(Netherlands!H17,"&gt;0")+COUNTIF(Norway!H17,"&gt;0")+COUNTIF(Slovenia!H17,"&gt;0")+COUNTIF(Sweden!H17,"&gt;0")+COUNTIF(Switzerland!H17,"&gt;0")+COUNTIF('United Kingdom'!H17,"&gt;0")+COUNTIF(Canada!H17,"&gt;0")+COUNTIF(USA!H17,"&gt;0")</f>
        <v>1</v>
      </c>
      <c r="I17" s="788">
        <f>COUNTIF(Austria!I17,"&gt;0")+COUNTIF('Czech Republic'!I17,"&gt;0")+COUNTIF(France!I17,"&gt;0")+COUNTIF(Finland!I17,"&gt;0")+COUNTIF(Germany!I17,"&gt;0")+COUNTIF(Lithuania!I17,"&gt;0")+COUNTIF(Netherlands!I17,"&gt;0")+COUNTIF(Norway!I17,"&gt;0")+COUNTIF(Slovenia!I17,"&gt;0")+COUNTIF(Sweden!I17,"&gt;0")+COUNTIF(Switzerland!I17,"&gt;0")+COUNTIF('United Kingdom'!I17,"&gt;0")+COUNTIF(Canada!I17,"&gt;0")+COUNTIF(USA!I17,"&gt;0")</f>
        <v>0</v>
      </c>
      <c r="J17" s="788">
        <f>COUNTIF(Austria!J17,"&gt;0")+COUNTIF('Czech Republic'!J17,"&gt;0")+COUNTIF(France!J17,"&gt;0")+COUNTIF(Finland!J17,"&gt;0")+COUNTIF(Germany!J17,"&gt;0")+COUNTIF(Lithuania!J17,"&gt;0")+COUNTIF(Netherlands!J17,"&gt;0")+COUNTIF(Norway!J17,"&gt;0")+COUNTIF(Slovenia!J17,"&gt;0")+COUNTIF(Sweden!J17,"&gt;0")+COUNTIF(Switzerland!J17,"&gt;0")+COUNTIF('United Kingdom'!J17,"&gt;0")+COUNTIF(Canada!J17,"&gt;0")+COUNTIF(USA!J17,"&gt;0")</f>
        <v>0</v>
      </c>
      <c r="K17" s="788">
        <f>COUNTIF(Austria!K17,"&gt;0")+COUNTIF('Czech Republic'!K17,"&gt;0")+COUNTIF(France!K17,"&gt;0")+COUNTIF(Finland!K17,"&gt;0")+COUNTIF(Germany!K17,"&gt;0")+COUNTIF(Lithuania!K17,"&gt;0")+COUNTIF(Netherlands!K17,"&gt;0")+COUNTIF(Norway!K17,"&gt;0")+COUNTIF(Slovenia!K17,"&gt;0")+COUNTIF(Sweden!K17,"&gt;0")+COUNTIF(Switzerland!K17,"&gt;0")+COUNTIF('United Kingdom'!K17,"&gt;0")+COUNTIF(Canada!K17,"&gt;0")+COUNTIF(USA!K17,"&gt;0")</f>
        <v>2</v>
      </c>
      <c r="L17" s="788">
        <f>COUNTIF(Austria!L17,"&gt;0")+COUNTIF('Czech Republic'!L17,"&gt;0")+COUNTIF(France!L17,"&gt;0")+COUNTIF(Finland!L17,"&gt;0")+COUNTIF(Germany!L17,"&gt;0")+COUNTIF(Lithuania!L17,"&gt;0")+COUNTIF(Netherlands!L17,"&gt;0")+COUNTIF(Norway!L17,"&gt;0")+COUNTIF(Slovenia!L17,"&gt;0")+COUNTIF(Sweden!L17,"&gt;0")+COUNTIF(Switzerland!L17,"&gt;0")+COUNTIF('United Kingdom'!L17,"&gt;0")+COUNTIF(Canada!L17,"&gt;0")+COUNTIF(USA!L17,"&gt;0")</f>
        <v>0</v>
      </c>
      <c r="M17" s="788">
        <f>COUNTIF(Austria!M17,"&gt;0")+COUNTIF('Czech Republic'!M17,"&gt;0")+COUNTIF(France!M17,"&gt;0")+COUNTIF(Finland!M17,"&gt;0")+COUNTIF(Germany!M17,"&gt;0")+COUNTIF(Lithuania!M17,"&gt;0")+COUNTIF(Netherlands!M17,"&gt;0")+COUNTIF(Norway!M17,"&gt;0")+COUNTIF(Slovenia!M17,"&gt;0")+COUNTIF(Sweden!M17,"&gt;0")+COUNTIF(Switzerland!M17,"&gt;0")+COUNTIF('United Kingdom'!M17,"&gt;0")+COUNTIF(Canada!M17,"&gt;0")+COUNTIF(USA!M17,"&gt;0")</f>
        <v>0</v>
      </c>
      <c r="N17" s="788">
        <f>COUNTIF(Austria!N17,"&gt;0")+COUNTIF('Czech Republic'!N17,"&gt;0")+COUNTIF(France!N17,"&gt;0")+COUNTIF(Finland!N17,"&gt;0")+COUNTIF(Germany!N17,"&gt;0")+COUNTIF(Lithuania!N17,"&gt;0")+COUNTIF(Netherlands!N17,"&gt;0")+COUNTIF(Norway!N17,"&gt;0")+COUNTIF(Slovenia!N17,"&gt;0")+COUNTIF(Sweden!N17,"&gt;0")+COUNTIF(Switzerland!N17,"&gt;0")+COUNTIF('United Kingdom'!N17,"&gt;0")+COUNTIF(Canada!N17,"&gt;0")+COUNTIF(USA!N17,"&gt;0")</f>
        <v>0</v>
      </c>
      <c r="O17" s="788">
        <f>COUNTIF(Austria!O17,"&gt;0")+COUNTIF('Czech Republic'!O17,"&gt;0")+COUNTIF(France!O17,"&gt;0")+COUNTIF(Finland!O17,"&gt;0")+COUNTIF(Germany!O17,"&gt;0")+COUNTIF(Lithuania!O17,"&gt;0")+COUNTIF(Netherlands!O17,"&gt;0")+COUNTIF(Norway!O17,"&gt;0")+COUNTIF(Slovenia!O17,"&gt;0")+COUNTIF(Sweden!O17,"&gt;0")+COUNTIF(Switzerland!O17,"&gt;0")+COUNTIF('United Kingdom'!O17,"&gt;0")+COUNTIF(Canada!O17,"&gt;0")+COUNTIF(USA!O17,"&gt;0")</f>
        <v>0</v>
      </c>
      <c r="P17" s="788">
        <f>COUNTIF(Austria!P17,"&gt;0")+COUNTIF('Czech Republic'!P17,"&gt;0")+COUNTIF(France!P17,"&gt;0")+COUNTIF(Finland!P17,"&gt;0")+COUNTIF(Germany!P17,"&gt;0")+COUNTIF(Lithuania!P17,"&gt;0")+COUNTIF(Netherlands!P17,"&gt;0")+COUNTIF(Norway!P17,"&gt;0")+COUNTIF(Slovenia!P17,"&gt;0")+COUNTIF(Sweden!P17,"&gt;0")+COUNTIF(Switzerland!P17,"&gt;0")+COUNTIF('United Kingdom'!P17,"&gt;0")+COUNTIF(Canada!P17,"&gt;0")+COUNTIF(USA!P17,"&gt;0")</f>
        <v>0</v>
      </c>
      <c r="Q17" s="788">
        <f>COUNTIF(Austria!Q17,"&gt;0")+COUNTIF('Czech Republic'!Q17,"&gt;0")+COUNTIF(France!Q17,"&gt;0")+COUNTIF(Finland!Q17,"&gt;0")+COUNTIF(Germany!Q17,"&gt;0")+COUNTIF(Lithuania!Q17,"&gt;0")+COUNTIF(Netherlands!Q17,"&gt;0")+COUNTIF(Norway!Q17,"&gt;0")+COUNTIF(Slovenia!Q17,"&gt;0")+COUNTIF(Sweden!Q17,"&gt;0")+COUNTIF(Switzerland!Q17,"&gt;0")+COUNTIF('United Kingdom'!Q17,"&gt;0")+COUNTIF(Canada!Q17,"&gt;0")+COUNTIF(USA!Q17,"&gt;0")</f>
        <v>0</v>
      </c>
      <c r="R17" s="788">
        <f>COUNTIF(Austria!R17,"&gt;0")+COUNTIF('Czech Republic'!R17,"&gt;0")+COUNTIF(France!R17,"&gt;0")+COUNTIF(Finland!R17,"&gt;0")+COUNTIF(Germany!R17,"&gt;0")+COUNTIF(Lithuania!R17,"&gt;0")+COUNTIF(Netherlands!R17,"&gt;0")+COUNTIF(Norway!R17,"&gt;0")+COUNTIF(Slovenia!R17,"&gt;0")+COUNTIF(Sweden!R17,"&gt;0")+COUNTIF(Switzerland!R17,"&gt;0")+COUNTIF('United Kingdom'!R17,"&gt;0")+COUNTIF(Canada!R17,"&gt;0")+COUNTIF(USA!R17,"&gt;0")</f>
        <v>0</v>
      </c>
      <c r="S17" s="788">
        <f>COUNTIF(Austria!S17,"&gt;0")+COUNTIF('Czech Republic'!S17,"&gt;0")+COUNTIF(France!S17,"&gt;0")+COUNTIF(Finland!S17,"&gt;0")+COUNTIF(Germany!S17,"&gt;0")+COUNTIF(Lithuania!S17,"&gt;0")+COUNTIF(Netherlands!S17,"&gt;0")+COUNTIF(Norway!S17,"&gt;0")+COUNTIF(Slovenia!S17,"&gt;0")+COUNTIF(Sweden!S17,"&gt;0")+COUNTIF(Switzerland!S17,"&gt;0")+COUNTIF('United Kingdom'!S17,"&gt;0")+COUNTIF(Canada!S17,"&gt;0")+COUNTIF(USA!S17,"&gt;0")</f>
        <v>0</v>
      </c>
      <c r="T17" s="788">
        <f>COUNTIF(Austria!T17,"&gt;0")+COUNTIF('Czech Republic'!T17,"&gt;0")+COUNTIF(France!T17,"&gt;0")+COUNTIF(Finland!T17,"&gt;0")+COUNTIF(Germany!T17,"&gt;0")+COUNTIF(Lithuania!T17,"&gt;0")+COUNTIF(Netherlands!T17,"&gt;0")+COUNTIF(Norway!T17,"&gt;0")+COUNTIF(Slovenia!T17,"&gt;0")+COUNTIF(Sweden!T17,"&gt;0")+COUNTIF(Switzerland!T17,"&gt;0")+COUNTIF('United Kingdom'!T17,"&gt;0")+COUNTIF(Canada!T17,"&gt;0")+COUNTIF(USA!T17,"&gt;0")</f>
        <v>1</v>
      </c>
      <c r="U17" s="788">
        <f>COUNTIF(Austria!U17,"&gt;0")+COUNTIF('Czech Republic'!U17,"&gt;0")+COUNTIF(France!U17,"&gt;0")+COUNTIF(Finland!U17,"&gt;0")+COUNTIF(Germany!U17,"&gt;0")+COUNTIF(Lithuania!U17,"&gt;0")+COUNTIF(Netherlands!U17,"&gt;0")+COUNTIF(Norway!U17,"&gt;0")+COUNTIF(Slovenia!U17,"&gt;0")+COUNTIF(Sweden!U17,"&gt;0")+COUNTIF(Switzerland!U17,"&gt;0")+COUNTIF('United Kingdom'!U17,"&gt;0")+COUNTIF(Canada!U17,"&gt;0")+COUNTIF(USA!U17,"&gt;0")</f>
        <v>0</v>
      </c>
      <c r="V17" s="788">
        <f>COUNTIF(Austria!V17,"&gt;0")+COUNTIF('Czech Republic'!V17,"&gt;0")+COUNTIF(France!V17,"&gt;0")+COUNTIF(Finland!V17,"&gt;0")+COUNTIF(Germany!V17,"&gt;0")+COUNTIF(Lithuania!V17,"&gt;0")+COUNTIF(Netherlands!V17,"&gt;0")+COUNTIF(Norway!V17,"&gt;0")+COUNTIF(Slovenia!V17,"&gt;0")+COUNTIF(Sweden!V17,"&gt;0")+COUNTIF(Switzerland!V17,"&gt;0")+COUNTIF('United Kingdom'!V17,"&gt;0")+COUNTIF(Canada!V17,"&gt;0")+COUNTIF(USA!V17,"&gt;0")</f>
        <v>1</v>
      </c>
      <c r="W17" s="788">
        <f>COUNTIF(Austria!W17,"&gt;0")+COUNTIF('Czech Republic'!W17,"&gt;0")+COUNTIF(France!W17,"&gt;0")+COUNTIF(Finland!W17,"&gt;0")+COUNTIF(Germany!W17,"&gt;0")+COUNTIF(Lithuania!W17,"&gt;0")+COUNTIF(Netherlands!W17,"&gt;0")+COUNTIF(Norway!W17,"&gt;0")+COUNTIF(Slovenia!W17,"&gt;0")+COUNTIF(Sweden!W17,"&gt;0")+COUNTIF(Switzerland!W17,"&gt;0")+COUNTIF('United Kingdom'!W17,"&gt;0")+COUNTIF(Canada!W17,"&gt;0")+COUNTIF(USA!W17,"&gt;0")</f>
        <v>0</v>
      </c>
      <c r="X17" s="788">
        <f>COUNTIF(Austria!X17,"&gt;0")+COUNTIF('Czech Republic'!X17,"&gt;0")+COUNTIF(France!X17,"&gt;0")+COUNTIF(Finland!X17,"&gt;0")+COUNTIF(Germany!X17,"&gt;0")+COUNTIF(Lithuania!X17,"&gt;0")+COUNTIF(Netherlands!X17,"&gt;0")+COUNTIF(Norway!X17,"&gt;0")+COUNTIF(Slovenia!X17,"&gt;0")+COUNTIF(Sweden!X17,"&gt;0")+COUNTIF(Switzerland!X17,"&gt;0")+COUNTIF('United Kingdom'!X17,"&gt;0")+COUNTIF(Canada!X17,"&gt;0")+COUNTIF(USA!X17,"&gt;0")</f>
        <v>1</v>
      </c>
      <c r="Y17" s="788">
        <f>COUNTIF(Austria!Y17,"&gt;0")+COUNTIF('Czech Republic'!Y17,"&gt;0")+COUNTIF(France!Y17,"&gt;0")+COUNTIF(Finland!Y17,"&gt;0")+COUNTIF(Germany!Y17,"&gt;0")+COUNTIF(Lithuania!Y17,"&gt;0")+COUNTIF(Netherlands!Y17,"&gt;0")+COUNTIF(Norway!Y17,"&gt;0")+COUNTIF(Slovenia!Y17,"&gt;0")+COUNTIF(Sweden!Y17,"&gt;0")+COUNTIF(Switzerland!Y17,"&gt;0")+COUNTIF('United Kingdom'!Y17,"&gt;0")+COUNTIF(Canada!Y17,"&gt;0")+COUNTIF(USA!Y17,"&gt;0")</f>
        <v>1</v>
      </c>
      <c r="Z17" s="788">
        <f>COUNTIF(Austria!Z17,"&gt;0")+COUNTIF('Czech Republic'!Z17,"&gt;0")+COUNTIF(France!Z17,"&gt;0")+COUNTIF(Finland!Z17,"&gt;0")+COUNTIF(Germany!Z17,"&gt;0")+COUNTIF(Lithuania!Z17,"&gt;0")+COUNTIF(Netherlands!Z17,"&gt;0")+COUNTIF(Norway!Z17,"&gt;0")+COUNTIF(Slovenia!Z17,"&gt;0")+COUNTIF(Sweden!Z17,"&gt;0")+COUNTIF(Switzerland!Z17,"&gt;0")+COUNTIF('United Kingdom'!Z17,"&gt;0")+COUNTIF(Canada!Z17,"&gt;0")+COUNTIF(USA!Z17,"&gt;0")</f>
        <v>0</v>
      </c>
      <c r="AA17" s="788">
        <f>COUNTIF(Austria!AA17,"&gt;0")+COUNTIF('Czech Republic'!AA17,"&gt;0")+COUNTIF(France!AA17,"&gt;0")+COUNTIF(Finland!AA17,"&gt;0")+COUNTIF(Germany!AA17,"&gt;0")+COUNTIF(Lithuania!AA17,"&gt;0")+COUNTIF(Netherlands!AA17,"&gt;0")+COUNTIF(Norway!AA17,"&gt;0")+COUNTIF(Slovenia!AA17,"&gt;0")+COUNTIF(Sweden!AA17,"&gt;0")+COUNTIF(Switzerland!AA17,"&gt;0")+COUNTIF('United Kingdom'!AA17,"&gt;0")+COUNTIF(Canada!AA17,"&gt;0")+COUNTIF(USA!AA17,"&gt;0")</f>
        <v>1</v>
      </c>
      <c r="AB17" s="788">
        <f>COUNTIF(Austria!AB17,"&gt;0")+COUNTIF('Czech Republic'!AB17,"&gt;0")+COUNTIF(France!AB17,"&gt;0")+COUNTIF(Finland!AB17,"&gt;0")+COUNTIF(Germany!AB17,"&gt;0")+COUNTIF(Lithuania!AB17,"&gt;0")+COUNTIF(Netherlands!AB17,"&gt;0")+COUNTIF(Norway!AB17,"&gt;0")+COUNTIF(Slovenia!AB17,"&gt;0")+COUNTIF(Sweden!AB17,"&gt;0")+COUNTIF(Switzerland!AB17,"&gt;0")+COUNTIF('United Kingdom'!AB17,"&gt;0")+COUNTIF(Canada!AB17,"&gt;0")+COUNTIF(USA!AB17,"&gt;0")</f>
        <v>1</v>
      </c>
      <c r="AC17" s="788">
        <f>COUNTIF(Austria!AC17,"&gt;0")+COUNTIF('Czech Republic'!AC17,"&gt;0")+COUNTIF(France!AC17,"&gt;0")+COUNTIF(Finland!AC17,"&gt;0")+COUNTIF(Germany!AC17,"&gt;0")+COUNTIF(Lithuania!AC17,"&gt;0")+COUNTIF(Netherlands!AC17,"&gt;0")+COUNTIF(Norway!AC17,"&gt;0")+COUNTIF(Slovenia!AC17,"&gt;0")+COUNTIF(Sweden!AC17,"&gt;0")+COUNTIF(Switzerland!AC17,"&gt;0")+COUNTIF('United Kingdom'!AC17,"&gt;0")+COUNTIF(Canada!AC17,"&gt;0")+COUNTIF(USA!AC17,"&gt;0")</f>
        <v>0</v>
      </c>
      <c r="AD17" s="788">
        <f>COUNTIF(Austria!AD17,"&gt;0")+COUNTIF('Czech Republic'!AD17,"&gt;0")+COUNTIF(France!AD17,"&gt;0")+COUNTIF(Finland!AD17,"&gt;0")+COUNTIF(Germany!AD17,"&gt;0")+COUNTIF(Lithuania!AD17,"&gt;0")+COUNTIF(Netherlands!AD17,"&gt;0")+COUNTIF(Norway!AD17,"&gt;0")+COUNTIF(Slovenia!AD17,"&gt;0")+COUNTIF(Sweden!AD17,"&gt;0")+COUNTIF(Switzerland!AD17,"&gt;0")+COUNTIF('United Kingdom'!AD17,"&gt;0")+COUNTIF(Canada!AD17,"&gt;0")+COUNTIF(USA!AD17,"&gt;0")</f>
        <v>0</v>
      </c>
      <c r="AE17" s="788">
        <f>COUNTIF(Austria!AE17,"&gt;0")+COUNTIF('Czech Republic'!AE17,"&gt;0")+COUNTIF(France!AE17,"&gt;0")+COUNTIF(Finland!AE17,"&gt;0")+COUNTIF(Germany!AE17,"&gt;0")+COUNTIF(Lithuania!AE17,"&gt;0")+COUNTIF(Netherlands!AE17,"&gt;0")+COUNTIF(Norway!AE17,"&gt;0")+COUNTIF(Slovenia!AE17,"&gt;0")+COUNTIF(Sweden!AE17,"&gt;0")+COUNTIF(Switzerland!AE17,"&gt;0")+COUNTIF('United Kingdom'!AE17,"&gt;0")+COUNTIF(Canada!AE17,"&gt;0")+COUNTIF(USA!AE17,"&gt;0")</f>
        <v>0</v>
      </c>
      <c r="AF17" s="788">
        <f>COUNTIF(Austria!AF17,"&gt;0")+COUNTIF('Czech Republic'!AF17,"&gt;0")+COUNTIF(France!AF17,"&gt;0")+COUNTIF(Finland!AF17,"&gt;0")+COUNTIF(Germany!AF17,"&gt;0")+COUNTIF(Lithuania!AF17,"&gt;0")+COUNTIF(Netherlands!AF17,"&gt;0")+COUNTIF(Norway!AF17,"&gt;0")+COUNTIF(Slovenia!AF17,"&gt;0")+COUNTIF(Sweden!AF17,"&gt;0")+COUNTIF(Switzerland!AF17,"&gt;0")+COUNTIF('United Kingdom'!AF17,"&gt;0")+COUNTIF(Canada!AF17,"&gt;0")+COUNTIF(USA!AF17,"&gt;0")</f>
        <v>0</v>
      </c>
      <c r="AG17" s="127"/>
      <c r="AH17" s="51" t="s">
        <v>80</v>
      </c>
    </row>
    <row r="18" spans="3:34" ht="38.25" customHeight="1" thickBot="1">
      <c r="C18" s="60" t="s">
        <v>82</v>
      </c>
      <c r="D18" s="5"/>
      <c r="E18" s="1391"/>
      <c r="F18" s="61" t="s">
        <v>83</v>
      </c>
      <c r="G18" s="80" t="s">
        <v>119</v>
      </c>
      <c r="H18" s="788">
        <f>COUNTIF(Austria!H18,"&gt;0")+COUNTIF('Czech Republic'!H18,"&gt;0")+COUNTIF(France!H18,"&gt;0")+COUNTIF(Finland!H18,"&gt;0")+COUNTIF(Germany!H18,"&gt;0")+COUNTIF(Lithuania!H18,"&gt;0")+COUNTIF(Netherlands!H18,"&gt;0")+COUNTIF(Norway!H18,"&gt;0")+COUNTIF(Slovenia!H18,"&gt;0")+COUNTIF(Sweden!H18,"&gt;0")+COUNTIF(Switzerland!H18,"&gt;0")+COUNTIF('United Kingdom'!H18,"&gt;0")+COUNTIF(Canada!H18,"&gt;0")+COUNTIF(USA!H18,"&gt;0")</f>
        <v>14</v>
      </c>
      <c r="I18" s="788">
        <f>COUNTIF(Austria!I18,"&gt;0")+COUNTIF('Czech Republic'!I18,"&gt;0")+COUNTIF(France!I18,"&gt;0")+COUNTIF(Finland!I18,"&gt;0")+COUNTIF(Germany!I18,"&gt;0")+COUNTIF(Lithuania!I18,"&gt;0")+COUNTIF(Netherlands!I18,"&gt;0")+COUNTIF(Norway!I18,"&gt;0")+COUNTIF(Slovenia!I18,"&gt;0")+COUNTIF(Sweden!I18,"&gt;0")+COUNTIF(Switzerland!I18,"&gt;0")+COUNTIF('United Kingdom'!I18,"&gt;0")+COUNTIF(Canada!I18,"&gt;0")+COUNTIF(USA!I18,"&gt;0")</f>
        <v>12</v>
      </c>
      <c r="J18" s="788">
        <f>COUNTIF(Austria!J18,"&gt;0")+COUNTIF('Czech Republic'!J18,"&gt;0")+COUNTIF(France!J18,"&gt;0")+COUNTIF(Finland!J18,"&gt;0")+COUNTIF(Germany!J18,"&gt;0")+COUNTIF(Lithuania!J18,"&gt;0")+COUNTIF(Netherlands!J18,"&gt;0")+COUNTIF(Norway!J18,"&gt;0")+COUNTIF(Slovenia!J18,"&gt;0")+COUNTIF(Sweden!J18,"&gt;0")+COUNTIF(Switzerland!J18,"&gt;0")+COUNTIF('United Kingdom'!J18,"&gt;0")+COUNTIF(Canada!J18,"&gt;0")+COUNTIF(USA!J18,"&gt;0")</f>
        <v>11</v>
      </c>
      <c r="K18" s="788">
        <f>COUNTIF(Austria!K18,"&gt;0")+COUNTIF('Czech Republic'!K18,"&gt;0")+COUNTIF(France!K18,"&gt;0")+COUNTIF(Finland!K18,"&gt;0")+COUNTIF(Germany!K18,"&gt;0")+COUNTIF(Lithuania!K18,"&gt;0")+COUNTIF(Netherlands!K18,"&gt;0")+COUNTIF(Norway!K18,"&gt;0")+COUNTIF(Slovenia!K18,"&gt;0")+COUNTIF(Sweden!K18,"&gt;0")+COUNTIF(Switzerland!K18,"&gt;0")+COUNTIF('United Kingdom'!K18,"&gt;0")+COUNTIF(Canada!K18,"&gt;0")+COUNTIF(USA!K18,"&gt;0")</f>
        <v>14</v>
      </c>
      <c r="L18" s="788">
        <f>COUNTIF(Austria!L18,"&gt;0")+COUNTIF('Czech Republic'!L18,"&gt;0")+COUNTIF(France!L18,"&gt;0")+COUNTIF(Finland!L18,"&gt;0")+COUNTIF(Germany!L18,"&gt;0")+COUNTIF(Lithuania!L18,"&gt;0")+COUNTIF(Netherlands!L18,"&gt;0")+COUNTIF(Norway!L18,"&gt;0")+COUNTIF(Slovenia!L18,"&gt;0")+COUNTIF(Sweden!L18,"&gt;0")+COUNTIF(Switzerland!L18,"&gt;0")+COUNTIF('United Kingdom'!L18,"&gt;0")+COUNTIF(Canada!L18,"&gt;0")+COUNTIF(USA!L18,"&gt;0")</f>
        <v>1</v>
      </c>
      <c r="M18" s="788">
        <f>COUNTIF(Austria!M18,"&gt;0")+COUNTIF('Czech Republic'!M18,"&gt;0")+COUNTIF(France!M18,"&gt;0")+COUNTIF(Finland!M18,"&gt;0")+COUNTIF(Germany!M18,"&gt;0")+COUNTIF(Lithuania!M18,"&gt;0")+COUNTIF(Netherlands!M18,"&gt;0")+COUNTIF(Norway!M18,"&gt;0")+COUNTIF(Slovenia!M18,"&gt;0")+COUNTIF(Sweden!M18,"&gt;0")+COUNTIF(Switzerland!M18,"&gt;0")+COUNTIF('United Kingdom'!M18,"&gt;0")+COUNTIF(Canada!M18,"&gt;0")+COUNTIF(USA!M18,"&gt;0")</f>
        <v>8</v>
      </c>
      <c r="N18" s="788">
        <f>COUNTIF(Austria!N18,"&gt;0")+COUNTIF('Czech Republic'!N18,"&gt;0")+COUNTIF(France!N18,"&gt;0")+COUNTIF(Finland!N18,"&gt;0")+COUNTIF(Germany!N18,"&gt;0")+COUNTIF(Lithuania!N18,"&gt;0")+COUNTIF(Netherlands!N18,"&gt;0")+COUNTIF(Norway!N18,"&gt;0")+COUNTIF(Slovenia!N18,"&gt;0")+COUNTIF(Sweden!N18,"&gt;0")+COUNTIF(Switzerland!N18,"&gt;0")+COUNTIF('United Kingdom'!N18,"&gt;0")+COUNTIF(Canada!N18,"&gt;0")+COUNTIF(USA!N18,"&gt;0")</f>
        <v>7</v>
      </c>
      <c r="O18" s="788">
        <f>COUNTIF(Austria!O18,"&gt;0")+COUNTIF('Czech Republic'!O18,"&gt;0")+COUNTIF(France!O18,"&gt;0")+COUNTIF(Finland!O18,"&gt;0")+COUNTIF(Germany!O18,"&gt;0")+COUNTIF(Lithuania!O18,"&gt;0")+COUNTIF(Netherlands!O18,"&gt;0")+COUNTIF(Norway!O18,"&gt;0")+COUNTIF(Slovenia!O18,"&gt;0")+COUNTIF(Sweden!O18,"&gt;0")+COUNTIF(Switzerland!O18,"&gt;0")+COUNTIF('United Kingdom'!O18,"&gt;0")+COUNTIF(Canada!O18,"&gt;0")+COUNTIF(USA!O18,"&gt;0")</f>
        <v>3</v>
      </c>
      <c r="P18" s="788">
        <f>COUNTIF(Austria!P18,"&gt;0")+COUNTIF('Czech Republic'!P18,"&gt;0")+COUNTIF(France!P18,"&gt;0")+COUNTIF(Finland!P18,"&gt;0")+COUNTIF(Germany!P18,"&gt;0")+COUNTIF(Lithuania!P18,"&gt;0")+COUNTIF(Netherlands!P18,"&gt;0")+COUNTIF(Norway!P18,"&gt;0")+COUNTIF(Slovenia!P18,"&gt;0")+COUNTIF(Sweden!P18,"&gt;0")+COUNTIF(Switzerland!P18,"&gt;0")+COUNTIF('United Kingdom'!P18,"&gt;0")+COUNTIF(Canada!P18,"&gt;0")+COUNTIF(USA!P18,"&gt;0")</f>
        <v>5</v>
      </c>
      <c r="Q18" s="788">
        <f>COUNTIF(Austria!Q18,"&gt;0")+COUNTIF('Czech Republic'!Q18,"&gt;0")+COUNTIF(France!Q18,"&gt;0")+COUNTIF(Finland!Q18,"&gt;0")+COUNTIF(Germany!Q18,"&gt;0")+COUNTIF(Lithuania!Q18,"&gt;0")+COUNTIF(Netherlands!Q18,"&gt;0")+COUNTIF(Norway!Q18,"&gt;0")+COUNTIF(Slovenia!Q18,"&gt;0")+COUNTIF(Sweden!Q18,"&gt;0")+COUNTIF(Switzerland!Q18,"&gt;0")+COUNTIF('United Kingdom'!Q18,"&gt;0")+COUNTIF(Canada!Q18,"&gt;0")+COUNTIF(USA!Q18,"&gt;0")</f>
        <v>0</v>
      </c>
      <c r="R18" s="788">
        <f>COUNTIF(Austria!R18,"&gt;0")+COUNTIF('Czech Republic'!R18,"&gt;0")+COUNTIF(France!R18,"&gt;0")+COUNTIF(Finland!R18,"&gt;0")+COUNTIF(Germany!R18,"&gt;0")+COUNTIF(Lithuania!R18,"&gt;0")+COUNTIF(Netherlands!R18,"&gt;0")+COUNTIF(Norway!R18,"&gt;0")+COUNTIF(Slovenia!R18,"&gt;0")+COUNTIF(Sweden!R18,"&gt;0")+COUNTIF(Switzerland!R18,"&gt;0")+COUNTIF('United Kingdom'!R18,"&gt;0")+COUNTIF(Canada!R18,"&gt;0")+COUNTIF(USA!R18,"&gt;0")</f>
        <v>0</v>
      </c>
      <c r="S18" s="788">
        <f>COUNTIF(Austria!S18,"&gt;0")+COUNTIF('Czech Republic'!S18,"&gt;0")+COUNTIF(France!S18,"&gt;0")+COUNTIF(Finland!S18,"&gt;0")+COUNTIF(Germany!S18,"&gt;0")+COUNTIF(Lithuania!S18,"&gt;0")+COUNTIF(Netherlands!S18,"&gt;0")+COUNTIF(Norway!S18,"&gt;0")+COUNTIF(Slovenia!S18,"&gt;0")+COUNTIF(Sweden!S18,"&gt;0")+COUNTIF(Switzerland!S18,"&gt;0")+COUNTIF('United Kingdom'!S18,"&gt;0")+COUNTIF(Canada!S18,"&gt;0")+COUNTIF(USA!S18,"&gt;0")</f>
        <v>7</v>
      </c>
      <c r="T18" s="788">
        <f>COUNTIF(Austria!T18,"&gt;0")+COUNTIF('Czech Republic'!T18,"&gt;0")+COUNTIF(France!T18,"&gt;0")+COUNTIF(Finland!T18,"&gt;0")+COUNTIF(Germany!T18,"&gt;0")+COUNTIF(Lithuania!T18,"&gt;0")+COUNTIF(Netherlands!T18,"&gt;0")+COUNTIF(Norway!T18,"&gt;0")+COUNTIF(Slovenia!T18,"&gt;0")+COUNTIF(Sweden!T18,"&gt;0")+COUNTIF(Switzerland!T18,"&gt;0")+COUNTIF('United Kingdom'!T18,"&gt;0")+COUNTIF(Canada!T18,"&gt;0")+COUNTIF(USA!T18,"&gt;0")</f>
        <v>4</v>
      </c>
      <c r="U18" s="788">
        <f>COUNTIF(Austria!U18,"&gt;0")+COUNTIF('Czech Republic'!U18,"&gt;0")+COUNTIF(France!U18,"&gt;0")+COUNTIF(Finland!U18,"&gt;0")+COUNTIF(Germany!U18,"&gt;0")+COUNTIF(Lithuania!U18,"&gt;0")+COUNTIF(Netherlands!U18,"&gt;0")+COUNTIF(Norway!U18,"&gt;0")+COUNTIF(Slovenia!U18,"&gt;0")+COUNTIF(Sweden!U18,"&gt;0")+COUNTIF(Switzerland!U18,"&gt;0")+COUNTIF('United Kingdom'!U18,"&gt;0")+COUNTIF(Canada!U18,"&gt;0")+COUNTIF(USA!U18,"&gt;0")</f>
        <v>5</v>
      </c>
      <c r="V18" s="788">
        <f>COUNTIF(Austria!V18,"&gt;0")+COUNTIF('Czech Republic'!V18,"&gt;0")+COUNTIF(France!V18,"&gt;0")+COUNTIF(Finland!V18,"&gt;0")+COUNTIF(Germany!V18,"&gt;0")+COUNTIF(Lithuania!V18,"&gt;0")+COUNTIF(Netherlands!V18,"&gt;0")+COUNTIF(Norway!V18,"&gt;0")+COUNTIF(Slovenia!V18,"&gt;0")+COUNTIF(Sweden!V18,"&gt;0")+COUNTIF(Switzerland!V18,"&gt;0")+COUNTIF('United Kingdom'!V18,"&gt;0")+COUNTIF(Canada!V18,"&gt;0")+COUNTIF(USA!V18,"&gt;0")</f>
        <v>13</v>
      </c>
      <c r="W18" s="788">
        <f>COUNTIF(Austria!W18,"&gt;0")+COUNTIF('Czech Republic'!W18,"&gt;0")+COUNTIF(France!W18,"&gt;0")+COUNTIF(Finland!W18,"&gt;0")+COUNTIF(Germany!W18,"&gt;0")+COUNTIF(Lithuania!W18,"&gt;0")+COUNTIF(Netherlands!W18,"&gt;0")+COUNTIF(Norway!W18,"&gt;0")+COUNTIF(Slovenia!W18,"&gt;0")+COUNTIF(Sweden!W18,"&gt;0")+COUNTIF(Switzerland!W18,"&gt;0")+COUNTIF('United Kingdom'!W18,"&gt;0")+COUNTIF(Canada!W18,"&gt;0")+COUNTIF(USA!W18,"&gt;0")</f>
        <v>7</v>
      </c>
      <c r="X18" s="788">
        <f>COUNTIF(Austria!X18,"&gt;0")+COUNTIF('Czech Republic'!X18,"&gt;0")+COUNTIF(France!X18,"&gt;0")+COUNTIF(Finland!X18,"&gt;0")+COUNTIF(Germany!X18,"&gt;0")+COUNTIF(Lithuania!X18,"&gt;0")+COUNTIF(Netherlands!X18,"&gt;0")+COUNTIF(Norway!X18,"&gt;0")+COUNTIF(Slovenia!X18,"&gt;0")+COUNTIF(Sweden!X18,"&gt;0")+COUNTIF(Switzerland!X18,"&gt;0")+COUNTIF('United Kingdom'!X18,"&gt;0")+COUNTIF(Canada!X18,"&gt;0")+COUNTIF(USA!X18,"&gt;0")</f>
        <v>3</v>
      </c>
      <c r="Y18" s="788">
        <f>COUNTIF(Austria!Y18,"&gt;0")+COUNTIF('Czech Republic'!Y18,"&gt;0")+COUNTIF(France!Y18,"&gt;0")+COUNTIF(Finland!Y18,"&gt;0")+COUNTIF(Germany!Y18,"&gt;0")+COUNTIF(Lithuania!Y18,"&gt;0")+COUNTIF(Netherlands!Y18,"&gt;0")+COUNTIF(Norway!Y18,"&gt;0")+COUNTIF(Slovenia!Y18,"&gt;0")+COUNTIF(Sweden!Y18,"&gt;0")+COUNTIF(Switzerland!Y18,"&gt;0")+COUNTIF('United Kingdom'!Y18,"&gt;0")+COUNTIF(Canada!Y18,"&gt;0")+COUNTIF(USA!Y18,"&gt;0")</f>
        <v>7</v>
      </c>
      <c r="Z18" s="788">
        <f>COUNTIF(Austria!Z18,"&gt;0")+COUNTIF('Czech Republic'!Z18,"&gt;0")+COUNTIF(France!Z18,"&gt;0")+COUNTIF(Finland!Z18,"&gt;0")+COUNTIF(Germany!Z18,"&gt;0")+COUNTIF(Lithuania!Z18,"&gt;0")+COUNTIF(Netherlands!Z18,"&gt;0")+COUNTIF(Norway!Z18,"&gt;0")+COUNTIF(Slovenia!Z18,"&gt;0")+COUNTIF(Sweden!Z18,"&gt;0")+COUNTIF(Switzerland!Z18,"&gt;0")+COUNTIF('United Kingdom'!Z18,"&gt;0")+COUNTIF(Canada!Z18,"&gt;0")+COUNTIF(USA!Z18,"&gt;0")</f>
        <v>4</v>
      </c>
      <c r="AA18" s="788">
        <f>COUNTIF(Austria!AA18,"&gt;0")+COUNTIF('Czech Republic'!AA18,"&gt;0")+COUNTIF(France!AA18,"&gt;0")+COUNTIF(Finland!AA18,"&gt;0")+COUNTIF(Germany!AA18,"&gt;0")+COUNTIF(Lithuania!AA18,"&gt;0")+COUNTIF(Netherlands!AA18,"&gt;0")+COUNTIF(Norway!AA18,"&gt;0")+COUNTIF(Slovenia!AA18,"&gt;0")+COUNTIF(Sweden!AA18,"&gt;0")+COUNTIF(Switzerland!AA18,"&gt;0")+COUNTIF('United Kingdom'!AA18,"&gt;0")+COUNTIF(Canada!AA18,"&gt;0")+COUNTIF(USA!AA18,"&gt;0")</f>
        <v>2</v>
      </c>
      <c r="AB18" s="788">
        <f>COUNTIF(Austria!AB18,"&gt;0")+COUNTIF('Czech Republic'!AB18,"&gt;0")+COUNTIF(France!AB18,"&gt;0")+COUNTIF(Finland!AB18,"&gt;0")+COUNTIF(Germany!AB18,"&gt;0")+COUNTIF(Lithuania!AB18,"&gt;0")+COUNTIF(Netherlands!AB18,"&gt;0")+COUNTIF(Norway!AB18,"&gt;0")+COUNTIF(Slovenia!AB18,"&gt;0")+COUNTIF(Sweden!AB18,"&gt;0")+COUNTIF(Switzerland!AB18,"&gt;0")+COUNTIF('United Kingdom'!AB18,"&gt;0")+COUNTIF(Canada!AB18,"&gt;0")+COUNTIF(USA!AB18,"&gt;0")</f>
        <v>7</v>
      </c>
      <c r="AC18" s="788">
        <f>COUNTIF(Austria!AC18,"&gt;0")+COUNTIF('Czech Republic'!AC18,"&gt;0")+COUNTIF(France!AC18,"&gt;0")+COUNTIF(Finland!AC18,"&gt;0")+COUNTIF(Germany!AC18,"&gt;0")+COUNTIF(Lithuania!AC18,"&gt;0")+COUNTIF(Netherlands!AC18,"&gt;0")+COUNTIF(Norway!AC18,"&gt;0")+COUNTIF(Slovenia!AC18,"&gt;0")+COUNTIF(Sweden!AC18,"&gt;0")+COUNTIF(Switzerland!AC18,"&gt;0")+COUNTIF('United Kingdom'!AC18,"&gt;0")+COUNTIF(Canada!AC18,"&gt;0")+COUNTIF(USA!AC18,"&gt;0")</f>
        <v>3</v>
      </c>
      <c r="AD18" s="788">
        <f>COUNTIF(Austria!AD18,"&gt;0")+COUNTIF('Czech Republic'!AD18,"&gt;0")+COUNTIF(France!AD18,"&gt;0")+COUNTIF(Finland!AD18,"&gt;0")+COUNTIF(Germany!AD18,"&gt;0")+COUNTIF(Lithuania!AD18,"&gt;0")+COUNTIF(Netherlands!AD18,"&gt;0")+COUNTIF(Norway!AD18,"&gt;0")+COUNTIF(Slovenia!AD18,"&gt;0")+COUNTIF(Sweden!AD18,"&gt;0")+COUNTIF(Switzerland!AD18,"&gt;0")+COUNTIF('United Kingdom'!AD18,"&gt;0")+COUNTIF(Canada!AD18,"&gt;0")+COUNTIF(USA!AD18,"&gt;0")</f>
        <v>3</v>
      </c>
      <c r="AE18" s="788">
        <f>COUNTIF(Austria!AE18,"&gt;0")+COUNTIF('Czech Republic'!AE18,"&gt;0")+COUNTIF(France!AE18,"&gt;0")+COUNTIF(Finland!AE18,"&gt;0")+COUNTIF(Germany!AE18,"&gt;0")+COUNTIF(Lithuania!AE18,"&gt;0")+COUNTIF(Netherlands!AE18,"&gt;0")+COUNTIF(Norway!AE18,"&gt;0")+COUNTIF(Slovenia!AE18,"&gt;0")+COUNTIF(Sweden!AE18,"&gt;0")+COUNTIF(Switzerland!AE18,"&gt;0")+COUNTIF('United Kingdom'!AE18,"&gt;0")+COUNTIF(Canada!AE18,"&gt;0")+COUNTIF(USA!AE18,"&gt;0")</f>
        <v>1</v>
      </c>
      <c r="AF18" s="788">
        <f>COUNTIF(Austria!AF18,"&gt;0")+COUNTIF('Czech Republic'!AF18,"&gt;0")+COUNTIF(France!AF18,"&gt;0")+COUNTIF(Finland!AF18,"&gt;0")+COUNTIF(Germany!AF18,"&gt;0")+COUNTIF(Lithuania!AF18,"&gt;0")+COUNTIF(Netherlands!AF18,"&gt;0")+COUNTIF(Norway!AF18,"&gt;0")+COUNTIF(Slovenia!AF18,"&gt;0")+COUNTIF(Sweden!AF18,"&gt;0")+COUNTIF(Switzerland!AF18,"&gt;0")+COUNTIF('United Kingdom'!AF18,"&gt;0")+COUNTIF(Canada!AF18,"&gt;0")+COUNTIF(USA!AF18,"&gt;0")</f>
        <v>5</v>
      </c>
      <c r="AG18" s="127"/>
      <c r="AH18" s="60" t="s">
        <v>82</v>
      </c>
    </row>
    <row r="19" spans="3:34" ht="38.25" customHeight="1" thickBot="1">
      <c r="C19" s="51" t="s">
        <v>84</v>
      </c>
      <c r="D19" s="5"/>
      <c r="E19" s="1391"/>
      <c r="F19" s="61" t="s">
        <v>409</v>
      </c>
      <c r="G19" s="80" t="s">
        <v>119</v>
      </c>
      <c r="H19" s="788">
        <f>COUNTIF(Austria!H19,"&gt;0")+COUNTIF('Czech Republic'!H19,"&gt;0")+COUNTIF(France!H19,"&gt;0")+COUNTIF(Finland!H19,"&gt;0")+COUNTIF(Germany!H19,"&gt;0")+COUNTIF(Lithuania!H19,"&gt;0")+COUNTIF(Netherlands!H19,"&gt;0")+COUNTIF(Norway!H19,"&gt;0")+COUNTIF(Slovenia!H19,"&gt;0")+COUNTIF(Sweden!H19,"&gt;0")+COUNTIF(Switzerland!H19,"&gt;0")+COUNTIF('United Kingdom'!H19,"&gt;0")+COUNTIF(Canada!H19,"&gt;0")+COUNTIF(USA!H19,"&gt;0")</f>
        <v>5</v>
      </c>
      <c r="I19" s="788">
        <f>COUNTIF(Austria!I19,"&gt;0")+COUNTIF('Czech Republic'!I19,"&gt;0")+COUNTIF(France!I19,"&gt;0")+COUNTIF(Finland!I19,"&gt;0")+COUNTIF(Germany!I19,"&gt;0")+COUNTIF(Lithuania!I19,"&gt;0")+COUNTIF(Netherlands!I19,"&gt;0")+COUNTIF(Norway!I19,"&gt;0")+COUNTIF(Slovenia!I19,"&gt;0")+COUNTIF(Sweden!I19,"&gt;0")+COUNTIF(Switzerland!I19,"&gt;0")+COUNTIF('United Kingdom'!I19,"&gt;0")+COUNTIF(Canada!I19,"&gt;0")+COUNTIF(USA!I19,"&gt;0")</f>
        <v>2</v>
      </c>
      <c r="J19" s="788">
        <f>COUNTIF(Austria!J19,"&gt;0")+COUNTIF('Czech Republic'!J19,"&gt;0")+COUNTIF(France!J19,"&gt;0")+COUNTIF(Finland!J19,"&gt;0")+COUNTIF(Germany!J19,"&gt;0")+COUNTIF(Lithuania!J19,"&gt;0")+COUNTIF(Netherlands!J19,"&gt;0")+COUNTIF(Norway!J19,"&gt;0")+COUNTIF(Slovenia!J19,"&gt;0")+COUNTIF(Sweden!J19,"&gt;0")+COUNTIF(Switzerland!J19,"&gt;0")+COUNTIF('United Kingdom'!J19,"&gt;0")+COUNTIF(Canada!J19,"&gt;0")+COUNTIF(USA!J19,"&gt;0")</f>
        <v>2</v>
      </c>
      <c r="K19" s="788">
        <f>COUNTIF(Austria!K19,"&gt;0")+COUNTIF('Czech Republic'!K19,"&gt;0")+COUNTIF(France!K19,"&gt;0")+COUNTIF(Finland!K19,"&gt;0")+COUNTIF(Germany!K19,"&gt;0")+COUNTIF(Lithuania!K19,"&gt;0")+COUNTIF(Netherlands!K19,"&gt;0")+COUNTIF(Norway!K19,"&gt;0")+COUNTIF(Slovenia!K19,"&gt;0")+COUNTIF(Sweden!K19,"&gt;0")+COUNTIF(Switzerland!K19,"&gt;0")+COUNTIF('United Kingdom'!K19,"&gt;0")+COUNTIF(Canada!K19,"&gt;0")+COUNTIF(USA!K19,"&gt;0")</f>
        <v>7</v>
      </c>
      <c r="L19" s="788">
        <f>COUNTIF(Austria!L19,"&gt;0")+COUNTIF('Czech Republic'!L19,"&gt;0")+COUNTIF(France!L19,"&gt;0")+COUNTIF(Finland!L19,"&gt;0")+COUNTIF(Germany!L19,"&gt;0")+COUNTIF(Lithuania!L19,"&gt;0")+COUNTIF(Netherlands!L19,"&gt;0")+COUNTIF(Norway!L19,"&gt;0")+COUNTIF(Slovenia!L19,"&gt;0")+COUNTIF(Sweden!L19,"&gt;0")+COUNTIF(Switzerland!L19,"&gt;0")+COUNTIF('United Kingdom'!L19,"&gt;0")+COUNTIF(Canada!L19,"&gt;0")+COUNTIF(USA!L19,"&gt;0")</f>
        <v>0</v>
      </c>
      <c r="M19" s="788">
        <f>COUNTIF(Austria!M19,"&gt;0")+COUNTIF('Czech Republic'!M19,"&gt;0")+COUNTIF(France!M19,"&gt;0")+COUNTIF(Finland!M19,"&gt;0")+COUNTIF(Germany!M19,"&gt;0")+COUNTIF(Lithuania!M19,"&gt;0")+COUNTIF(Netherlands!M19,"&gt;0")+COUNTIF(Norway!M19,"&gt;0")+COUNTIF(Slovenia!M19,"&gt;0")+COUNTIF(Sweden!M19,"&gt;0")+COUNTIF(Switzerland!M19,"&gt;0")+COUNTIF('United Kingdom'!M19,"&gt;0")+COUNTIF(Canada!M19,"&gt;0")+COUNTIF(USA!M19,"&gt;0")</f>
        <v>2</v>
      </c>
      <c r="N19" s="788">
        <f>COUNTIF(Austria!N19,"&gt;0")+COUNTIF('Czech Republic'!N19,"&gt;0")+COUNTIF(France!N19,"&gt;0")+COUNTIF(Finland!N19,"&gt;0")+COUNTIF(Germany!N19,"&gt;0")+COUNTIF(Lithuania!N19,"&gt;0")+COUNTIF(Netherlands!N19,"&gt;0")+COUNTIF(Norway!N19,"&gt;0")+COUNTIF(Slovenia!N19,"&gt;0")+COUNTIF(Sweden!N19,"&gt;0")+COUNTIF(Switzerland!N19,"&gt;0")+COUNTIF('United Kingdom'!N19,"&gt;0")+COUNTIF(Canada!N19,"&gt;0")+COUNTIF(USA!N19,"&gt;0")</f>
        <v>0</v>
      </c>
      <c r="O19" s="788">
        <f>COUNTIF(Austria!O19,"&gt;0")+COUNTIF('Czech Republic'!O19,"&gt;0")+COUNTIF(France!O19,"&gt;0")+COUNTIF(Finland!O19,"&gt;0")+COUNTIF(Germany!O19,"&gt;0")+COUNTIF(Lithuania!O19,"&gt;0")+COUNTIF(Netherlands!O19,"&gt;0")+COUNTIF(Norway!O19,"&gt;0")+COUNTIF(Slovenia!O19,"&gt;0")+COUNTIF(Sweden!O19,"&gt;0")+COUNTIF(Switzerland!O19,"&gt;0")+COUNTIF('United Kingdom'!O19,"&gt;0")+COUNTIF(Canada!O19,"&gt;0")+COUNTIF(USA!O19,"&gt;0")</f>
        <v>1</v>
      </c>
      <c r="P19" s="788">
        <f>COUNTIF(Austria!P19,"&gt;0")+COUNTIF('Czech Republic'!P19,"&gt;0")+COUNTIF(France!P19,"&gt;0")+COUNTIF(Finland!P19,"&gt;0")+COUNTIF(Germany!P19,"&gt;0")+COUNTIF(Lithuania!P19,"&gt;0")+COUNTIF(Netherlands!P19,"&gt;0")+COUNTIF(Norway!P19,"&gt;0")+COUNTIF(Slovenia!P19,"&gt;0")+COUNTIF(Sweden!P19,"&gt;0")+COUNTIF(Switzerland!P19,"&gt;0")+COUNTIF('United Kingdom'!P19,"&gt;0")+COUNTIF(Canada!P19,"&gt;0")+COUNTIF(USA!P19,"&gt;0")</f>
        <v>1</v>
      </c>
      <c r="Q19" s="788">
        <f>COUNTIF(Austria!Q19,"&gt;0")+COUNTIF('Czech Republic'!Q19,"&gt;0")+COUNTIF(France!Q19,"&gt;0")+COUNTIF(Finland!Q19,"&gt;0")+COUNTIF(Germany!Q19,"&gt;0")+COUNTIF(Lithuania!Q19,"&gt;0")+COUNTIF(Netherlands!Q19,"&gt;0")+COUNTIF(Norway!Q19,"&gt;0")+COUNTIF(Slovenia!Q19,"&gt;0")+COUNTIF(Sweden!Q19,"&gt;0")+COUNTIF(Switzerland!Q19,"&gt;0")+COUNTIF('United Kingdom'!Q19,"&gt;0")+COUNTIF(Canada!Q19,"&gt;0")+COUNTIF(USA!Q19,"&gt;0")</f>
        <v>0</v>
      </c>
      <c r="R19" s="788">
        <f>COUNTIF(Austria!R19,"&gt;0")+COUNTIF('Czech Republic'!R19,"&gt;0")+COUNTIF(France!R19,"&gt;0")+COUNTIF(Finland!R19,"&gt;0")+COUNTIF(Germany!R19,"&gt;0")+COUNTIF(Lithuania!R19,"&gt;0")+COUNTIF(Netherlands!R19,"&gt;0")+COUNTIF(Norway!R19,"&gt;0")+COUNTIF(Slovenia!R19,"&gt;0")+COUNTIF(Sweden!R19,"&gt;0")+COUNTIF(Switzerland!R19,"&gt;0")+COUNTIF('United Kingdom'!R19,"&gt;0")+COUNTIF(Canada!R19,"&gt;0")+COUNTIF(USA!R19,"&gt;0")</f>
        <v>0</v>
      </c>
      <c r="S19" s="788">
        <f>COUNTIF(Austria!S19,"&gt;0")+COUNTIF('Czech Republic'!S19,"&gt;0")+COUNTIF(France!S19,"&gt;0")+COUNTIF(Finland!S19,"&gt;0")+COUNTIF(Germany!S19,"&gt;0")+COUNTIF(Lithuania!S19,"&gt;0")+COUNTIF(Netherlands!S19,"&gt;0")+COUNTIF(Norway!S19,"&gt;0")+COUNTIF(Slovenia!S19,"&gt;0")+COUNTIF(Sweden!S19,"&gt;0")+COUNTIF(Switzerland!S19,"&gt;0")+COUNTIF('United Kingdom'!S19,"&gt;0")+COUNTIF(Canada!S19,"&gt;0")+COUNTIF(USA!S19,"&gt;0")</f>
        <v>2</v>
      </c>
      <c r="T19" s="788">
        <f>COUNTIF(Austria!T19,"&gt;0")+COUNTIF('Czech Republic'!T19,"&gt;0")+COUNTIF(France!T19,"&gt;0")+COUNTIF(Finland!T19,"&gt;0")+COUNTIF(Germany!T19,"&gt;0")+COUNTIF(Lithuania!T19,"&gt;0")+COUNTIF(Netherlands!T19,"&gt;0")+COUNTIF(Norway!T19,"&gt;0")+COUNTIF(Slovenia!T19,"&gt;0")+COUNTIF(Sweden!T19,"&gt;0")+COUNTIF(Switzerland!T19,"&gt;0")+COUNTIF('United Kingdom'!T19,"&gt;0")+COUNTIF(Canada!T19,"&gt;0")+COUNTIF(USA!T19,"&gt;0")</f>
        <v>2</v>
      </c>
      <c r="U19" s="788">
        <f>COUNTIF(Austria!U19,"&gt;0")+COUNTIF('Czech Republic'!U19,"&gt;0")+COUNTIF(France!U19,"&gt;0")+COUNTIF(Finland!U19,"&gt;0")+COUNTIF(Germany!U19,"&gt;0")+COUNTIF(Lithuania!U19,"&gt;0")+COUNTIF(Netherlands!U19,"&gt;0")+COUNTIF(Norway!U19,"&gt;0")+COUNTIF(Slovenia!U19,"&gt;0")+COUNTIF(Sweden!U19,"&gt;0")+COUNTIF(Switzerland!U19,"&gt;0")+COUNTIF('United Kingdom'!U19,"&gt;0")+COUNTIF(Canada!U19,"&gt;0")+COUNTIF(USA!U19,"&gt;0")</f>
        <v>3</v>
      </c>
      <c r="V19" s="788">
        <f>COUNTIF(Austria!V19,"&gt;0")+COUNTIF('Czech Republic'!V19,"&gt;0")+COUNTIF(France!V19,"&gt;0")+COUNTIF(Finland!V19,"&gt;0")+COUNTIF(Germany!V19,"&gt;0")+COUNTIF(Lithuania!V19,"&gt;0")+COUNTIF(Netherlands!V19,"&gt;0")+COUNTIF(Norway!V19,"&gt;0")+COUNTIF(Slovenia!V19,"&gt;0")+COUNTIF(Sweden!V19,"&gt;0")+COUNTIF(Switzerland!V19,"&gt;0")+COUNTIF('United Kingdom'!V19,"&gt;0")+COUNTIF(Canada!V19,"&gt;0")+COUNTIF(USA!V19,"&gt;0")</f>
        <v>4</v>
      </c>
      <c r="W19" s="788">
        <f>COUNTIF(Austria!W19,"&gt;0")+COUNTIF('Czech Republic'!W19,"&gt;0")+COUNTIF(France!W19,"&gt;0")+COUNTIF(Finland!W19,"&gt;0")+COUNTIF(Germany!W19,"&gt;0")+COUNTIF(Lithuania!W19,"&gt;0")+COUNTIF(Netherlands!W19,"&gt;0")+COUNTIF(Norway!W19,"&gt;0")+COUNTIF(Slovenia!W19,"&gt;0")+COUNTIF(Sweden!W19,"&gt;0")+COUNTIF(Switzerland!W19,"&gt;0")+COUNTIF('United Kingdom'!W19,"&gt;0")+COUNTIF(Canada!W19,"&gt;0")+COUNTIF(USA!W19,"&gt;0")</f>
        <v>1</v>
      </c>
      <c r="X19" s="788">
        <f>COUNTIF(Austria!X19,"&gt;0")+COUNTIF('Czech Republic'!X19,"&gt;0")+COUNTIF(France!X19,"&gt;0")+COUNTIF(Finland!X19,"&gt;0")+COUNTIF(Germany!X19,"&gt;0")+COUNTIF(Lithuania!X19,"&gt;0")+COUNTIF(Netherlands!X19,"&gt;0")+COUNTIF(Norway!X19,"&gt;0")+COUNTIF(Slovenia!X19,"&gt;0")+COUNTIF(Sweden!X19,"&gt;0")+COUNTIF(Switzerland!X19,"&gt;0")+COUNTIF('United Kingdom'!X19,"&gt;0")+COUNTIF(Canada!X19,"&gt;0")+COUNTIF(USA!X19,"&gt;0")</f>
        <v>1</v>
      </c>
      <c r="Y19" s="788">
        <f>COUNTIF(Austria!Y19,"&gt;0")+COUNTIF('Czech Republic'!Y19,"&gt;0")+COUNTIF(France!Y19,"&gt;0")+COUNTIF(Finland!Y19,"&gt;0")+COUNTIF(Germany!Y19,"&gt;0")+COUNTIF(Lithuania!Y19,"&gt;0")+COUNTIF(Netherlands!Y19,"&gt;0")+COUNTIF(Norway!Y19,"&gt;0")+COUNTIF(Slovenia!Y19,"&gt;0")+COUNTIF(Sweden!Y19,"&gt;0")+COUNTIF(Switzerland!Y19,"&gt;0")+COUNTIF('United Kingdom'!Y19,"&gt;0")+COUNTIF(Canada!Y19,"&gt;0")+COUNTIF(USA!Y19,"&gt;0")</f>
        <v>1</v>
      </c>
      <c r="Z19" s="788">
        <f>COUNTIF(Austria!Z19,"&gt;0")+COUNTIF('Czech Republic'!Z19,"&gt;0")+COUNTIF(France!Z19,"&gt;0")+COUNTIF(Finland!Z19,"&gt;0")+COUNTIF(Germany!Z19,"&gt;0")+COUNTIF(Lithuania!Z19,"&gt;0")+COUNTIF(Netherlands!Z19,"&gt;0")+COUNTIF(Norway!Z19,"&gt;0")+COUNTIF(Slovenia!Z19,"&gt;0")+COUNTIF(Sweden!Z19,"&gt;0")+COUNTIF(Switzerland!Z19,"&gt;0")+COUNTIF('United Kingdom'!Z19,"&gt;0")+COUNTIF(Canada!Z19,"&gt;0")+COUNTIF(USA!Z19,"&gt;0")</f>
        <v>2</v>
      </c>
      <c r="AA19" s="788">
        <f>COUNTIF(Austria!AA19,"&gt;0")+COUNTIF('Czech Republic'!AA19,"&gt;0")+COUNTIF(France!AA19,"&gt;0")+COUNTIF(Finland!AA19,"&gt;0")+COUNTIF(Germany!AA19,"&gt;0")+COUNTIF(Lithuania!AA19,"&gt;0")+COUNTIF(Netherlands!AA19,"&gt;0")+COUNTIF(Norway!AA19,"&gt;0")+COUNTIF(Slovenia!AA19,"&gt;0")+COUNTIF(Sweden!AA19,"&gt;0")+COUNTIF(Switzerland!AA19,"&gt;0")+COUNTIF('United Kingdom'!AA19,"&gt;0")+COUNTIF(Canada!AA19,"&gt;0")+COUNTIF(USA!AA19,"&gt;0")</f>
        <v>2</v>
      </c>
      <c r="AB19" s="788">
        <f>COUNTIF(Austria!AB19,"&gt;0")+COUNTIF('Czech Republic'!AB19,"&gt;0")+COUNTIF(France!AB19,"&gt;0")+COUNTIF(Finland!AB19,"&gt;0")+COUNTIF(Germany!AB19,"&gt;0")+COUNTIF(Lithuania!AB19,"&gt;0")+COUNTIF(Netherlands!AB19,"&gt;0")+COUNTIF(Norway!AB19,"&gt;0")+COUNTIF(Slovenia!AB19,"&gt;0")+COUNTIF(Sweden!AB19,"&gt;0")+COUNTIF(Switzerland!AB19,"&gt;0")+COUNTIF('United Kingdom'!AB19,"&gt;0")+COUNTIF(Canada!AB19,"&gt;0")+COUNTIF(USA!AB19,"&gt;0")</f>
        <v>2</v>
      </c>
      <c r="AC19" s="788">
        <f>COUNTIF(Austria!AC19,"&gt;0")+COUNTIF('Czech Republic'!AC19,"&gt;0")+COUNTIF(France!AC19,"&gt;0")+COUNTIF(Finland!AC19,"&gt;0")+COUNTIF(Germany!AC19,"&gt;0")+COUNTIF(Lithuania!AC19,"&gt;0")+COUNTIF(Netherlands!AC19,"&gt;0")+COUNTIF(Norway!AC19,"&gt;0")+COUNTIF(Slovenia!AC19,"&gt;0")+COUNTIF(Sweden!AC19,"&gt;0")+COUNTIF(Switzerland!AC19,"&gt;0")+COUNTIF('United Kingdom'!AC19,"&gt;0")+COUNTIF(Canada!AC19,"&gt;0")+COUNTIF(USA!AC19,"&gt;0")</f>
        <v>0</v>
      </c>
      <c r="AD19" s="788">
        <f>COUNTIF(Austria!AD19,"&gt;0")+COUNTIF('Czech Republic'!AD19,"&gt;0")+COUNTIF(France!AD19,"&gt;0")+COUNTIF(Finland!AD19,"&gt;0")+COUNTIF(Germany!AD19,"&gt;0")+COUNTIF(Lithuania!AD19,"&gt;0")+COUNTIF(Netherlands!AD19,"&gt;0")+COUNTIF(Norway!AD19,"&gt;0")+COUNTIF(Slovenia!AD19,"&gt;0")+COUNTIF(Sweden!AD19,"&gt;0")+COUNTIF(Switzerland!AD19,"&gt;0")+COUNTIF('United Kingdom'!AD19,"&gt;0")+COUNTIF(Canada!AD19,"&gt;0")+COUNTIF(USA!AD19,"&gt;0")</f>
        <v>0</v>
      </c>
      <c r="AE19" s="788">
        <f>COUNTIF(Austria!AE19,"&gt;0")+COUNTIF('Czech Republic'!AE19,"&gt;0")+COUNTIF(France!AE19,"&gt;0")+COUNTIF(Finland!AE19,"&gt;0")+COUNTIF(Germany!AE19,"&gt;0")+COUNTIF(Lithuania!AE19,"&gt;0")+COUNTIF(Netherlands!AE19,"&gt;0")+COUNTIF(Norway!AE19,"&gt;0")+COUNTIF(Slovenia!AE19,"&gt;0")+COUNTIF(Sweden!AE19,"&gt;0")+COUNTIF(Switzerland!AE19,"&gt;0")+COUNTIF('United Kingdom'!AE19,"&gt;0")+COUNTIF(Canada!AE19,"&gt;0")+COUNTIF(USA!AE19,"&gt;0")</f>
        <v>0</v>
      </c>
      <c r="AF19" s="788">
        <f>COUNTIF(Austria!AF19,"&gt;0")+COUNTIF('Czech Republic'!AF19,"&gt;0")+COUNTIF(France!AF19,"&gt;0")+COUNTIF(Finland!AF19,"&gt;0")+COUNTIF(Germany!AF19,"&gt;0")+COUNTIF(Lithuania!AF19,"&gt;0")+COUNTIF(Netherlands!AF19,"&gt;0")+COUNTIF(Norway!AF19,"&gt;0")+COUNTIF(Slovenia!AF19,"&gt;0")+COUNTIF(Sweden!AF19,"&gt;0")+COUNTIF(Switzerland!AF19,"&gt;0")+COUNTIF('United Kingdom'!AF19,"&gt;0")+COUNTIF(Canada!AF19,"&gt;0")+COUNTIF(USA!AF19,"&gt;0")</f>
        <v>1</v>
      </c>
      <c r="AG19" s="127"/>
      <c r="AH19" s="51" t="s">
        <v>84</v>
      </c>
    </row>
    <row r="20" spans="3:34" ht="36.75" customHeight="1" thickBot="1">
      <c r="C20" s="60" t="s">
        <v>85</v>
      </c>
      <c r="D20" s="5"/>
      <c r="E20" s="1391"/>
      <c r="F20" s="61" t="s">
        <v>86</v>
      </c>
      <c r="G20" s="80" t="s">
        <v>87</v>
      </c>
      <c r="H20" s="788">
        <f>COUNTIF(Austria!H20,"&gt;0")+COUNTIF('Czech Republic'!H20,"&gt;0")+COUNTIF(France!H20,"&gt;0")+COUNTIF(Finland!H20,"&gt;0")+COUNTIF(Germany!H20,"&gt;0")+COUNTIF(Lithuania!H20,"&gt;0")+COUNTIF(Netherlands!H20,"&gt;0")+COUNTIF(Norway!H20,"&gt;0")+COUNTIF(Slovenia!H20,"&gt;0")+COUNTIF(Sweden!H20,"&gt;0")+COUNTIF(Switzerland!H20,"&gt;0")+COUNTIF('United Kingdom'!H20,"&gt;0")+COUNTIF(Canada!H20,"&gt;0")+COUNTIF(USA!H20,"&gt;0")</f>
        <v>7</v>
      </c>
      <c r="I20" s="788">
        <f>COUNTIF(Austria!I20,"&gt;0")+COUNTIF('Czech Republic'!I20,"&gt;0")+COUNTIF(France!I20,"&gt;0")+COUNTIF(Finland!I20,"&gt;0")+COUNTIF(Germany!I20,"&gt;0")+COUNTIF(Lithuania!I20,"&gt;0")+COUNTIF(Netherlands!I20,"&gt;0")+COUNTIF(Norway!I20,"&gt;0")+COUNTIF(Slovenia!I20,"&gt;0")+COUNTIF(Sweden!I20,"&gt;0")+COUNTIF(Switzerland!I20,"&gt;0")+COUNTIF('United Kingdom'!I20,"&gt;0")+COUNTIF(Canada!I20,"&gt;0")+COUNTIF(USA!I20,"&gt;0")</f>
        <v>0</v>
      </c>
      <c r="J20" s="788">
        <f>COUNTIF(Austria!J20,"&gt;0")+COUNTIF('Czech Republic'!J20,"&gt;0")+COUNTIF(France!J20,"&gt;0")+COUNTIF(Finland!J20,"&gt;0")+COUNTIF(Germany!J20,"&gt;0")+COUNTIF(Lithuania!J20,"&gt;0")+COUNTIF(Netherlands!J20,"&gt;0")+COUNTIF(Norway!J20,"&gt;0")+COUNTIF(Slovenia!J20,"&gt;0")+COUNTIF(Sweden!J20,"&gt;0")+COUNTIF(Switzerland!J20,"&gt;0")+COUNTIF('United Kingdom'!J20,"&gt;0")+COUNTIF(Canada!J20,"&gt;0")+COUNTIF(USA!J20,"&gt;0")</f>
        <v>0</v>
      </c>
      <c r="K20" s="788">
        <f>COUNTIF(Austria!K20,"&gt;0")+COUNTIF('Czech Republic'!K20,"&gt;0")+COUNTIF(France!K20,"&gt;0")+COUNTIF(Finland!K20,"&gt;0")+COUNTIF(Germany!K20,"&gt;0")+COUNTIF(Lithuania!K20,"&gt;0")+COUNTIF(Netherlands!K20,"&gt;0")+COUNTIF(Norway!K20,"&gt;0")+COUNTIF(Slovenia!K20,"&gt;0")+COUNTIF(Sweden!K20,"&gt;0")+COUNTIF(Switzerland!K20,"&gt;0")+COUNTIF('United Kingdom'!K20,"&gt;0")+COUNTIF(Canada!K20,"&gt;0")+COUNTIF(USA!K20,"&gt;0")</f>
        <v>6</v>
      </c>
      <c r="L20" s="788">
        <f>COUNTIF(Austria!L20,"&gt;0")+COUNTIF('Czech Republic'!L20,"&gt;0")+COUNTIF(France!L20,"&gt;0")+COUNTIF(Finland!L20,"&gt;0")+COUNTIF(Germany!L20,"&gt;0")+COUNTIF(Lithuania!L20,"&gt;0")+COUNTIF(Netherlands!L20,"&gt;0")+COUNTIF(Norway!L20,"&gt;0")+COUNTIF(Slovenia!L20,"&gt;0")+COUNTIF(Sweden!L20,"&gt;0")+COUNTIF(Switzerland!L20,"&gt;0")+COUNTIF('United Kingdom'!L20,"&gt;0")+COUNTIF(Canada!L20,"&gt;0")+COUNTIF(USA!L20,"&gt;0")</f>
        <v>0</v>
      </c>
      <c r="M20" s="788">
        <f>COUNTIF(Austria!M20,"&gt;0")+COUNTIF('Czech Republic'!M20,"&gt;0")+COUNTIF(France!M20,"&gt;0")+COUNTIF(Finland!M20,"&gt;0")+COUNTIF(Germany!M20,"&gt;0")+COUNTIF(Lithuania!M20,"&gt;0")+COUNTIF(Netherlands!M20,"&gt;0")+COUNTIF(Norway!M20,"&gt;0")+COUNTIF(Slovenia!M20,"&gt;0")+COUNTIF(Sweden!M20,"&gt;0")+COUNTIF(Switzerland!M20,"&gt;0")+COUNTIF('United Kingdom'!M20,"&gt;0")+COUNTIF(Canada!M20,"&gt;0")+COUNTIF(USA!M20,"&gt;0")</f>
        <v>0</v>
      </c>
      <c r="N20" s="788">
        <f>COUNTIF(Austria!N20,"&gt;0")+COUNTIF('Czech Republic'!N20,"&gt;0")+COUNTIF(France!N20,"&gt;0")+COUNTIF(Finland!N20,"&gt;0")+COUNTIF(Germany!N20,"&gt;0")+COUNTIF(Lithuania!N20,"&gt;0")+COUNTIF(Netherlands!N20,"&gt;0")+COUNTIF(Norway!N20,"&gt;0")+COUNTIF(Slovenia!N20,"&gt;0")+COUNTIF(Sweden!N20,"&gt;0")+COUNTIF(Switzerland!N20,"&gt;0")+COUNTIF('United Kingdom'!N20,"&gt;0")+COUNTIF(Canada!N20,"&gt;0")+COUNTIF(USA!N20,"&gt;0")</f>
        <v>0</v>
      </c>
      <c r="O20" s="788">
        <f>COUNTIF(Austria!O20,"&gt;0")+COUNTIF('Czech Republic'!O20,"&gt;0")+COUNTIF(France!O20,"&gt;0")+COUNTIF(Finland!O20,"&gt;0")+COUNTIF(Germany!O20,"&gt;0")+COUNTIF(Lithuania!O20,"&gt;0")+COUNTIF(Netherlands!O20,"&gt;0")+COUNTIF(Norway!O20,"&gt;0")+COUNTIF(Slovenia!O20,"&gt;0")+COUNTIF(Sweden!O20,"&gt;0")+COUNTIF(Switzerland!O20,"&gt;0")+COUNTIF('United Kingdom'!O20,"&gt;0")+COUNTIF(Canada!O20,"&gt;0")+COUNTIF(USA!O20,"&gt;0")</f>
        <v>0</v>
      </c>
      <c r="P20" s="788">
        <f>COUNTIF(Austria!P20,"&gt;0")+COUNTIF('Czech Republic'!P20,"&gt;0")+COUNTIF(France!P20,"&gt;0")+COUNTIF(Finland!P20,"&gt;0")+COUNTIF(Germany!P20,"&gt;0")+COUNTIF(Lithuania!P20,"&gt;0")+COUNTIF(Netherlands!P20,"&gt;0")+COUNTIF(Norway!P20,"&gt;0")+COUNTIF(Slovenia!P20,"&gt;0")+COUNTIF(Sweden!P20,"&gt;0")+COUNTIF(Switzerland!P20,"&gt;0")+COUNTIF('United Kingdom'!P20,"&gt;0")+COUNTIF(Canada!P20,"&gt;0")+COUNTIF(USA!P20,"&gt;0")</f>
        <v>0</v>
      </c>
      <c r="Q20" s="788">
        <f>COUNTIF(Austria!Q20,"&gt;0")+COUNTIF('Czech Republic'!Q20,"&gt;0")+COUNTIF(France!Q20,"&gt;0")+COUNTIF(Finland!Q20,"&gt;0")+COUNTIF(Germany!Q20,"&gt;0")+COUNTIF(Lithuania!Q20,"&gt;0")+COUNTIF(Netherlands!Q20,"&gt;0")+COUNTIF(Norway!Q20,"&gt;0")+COUNTIF(Slovenia!Q20,"&gt;0")+COUNTIF(Sweden!Q20,"&gt;0")+COUNTIF(Switzerland!Q20,"&gt;0")+COUNTIF('United Kingdom'!Q20,"&gt;0")+COUNTIF(Canada!Q20,"&gt;0")+COUNTIF(USA!Q20,"&gt;0")</f>
        <v>0</v>
      </c>
      <c r="R20" s="788">
        <f>COUNTIF(Austria!R20,"&gt;0")+COUNTIF('Czech Republic'!R20,"&gt;0")+COUNTIF(France!R20,"&gt;0")+COUNTIF(Finland!R20,"&gt;0")+COUNTIF(Germany!R20,"&gt;0")+COUNTIF(Lithuania!R20,"&gt;0")+COUNTIF(Netherlands!R20,"&gt;0")+COUNTIF(Norway!R20,"&gt;0")+COUNTIF(Slovenia!R20,"&gt;0")+COUNTIF(Sweden!R20,"&gt;0")+COUNTIF(Switzerland!R20,"&gt;0")+COUNTIF('United Kingdom'!R20,"&gt;0")+COUNTIF(Canada!R20,"&gt;0")+COUNTIF(USA!R20,"&gt;0")</f>
        <v>0</v>
      </c>
      <c r="S20" s="788">
        <f>COUNTIF(Austria!S20,"&gt;0")+COUNTIF('Czech Republic'!S20,"&gt;0")+COUNTIF(France!S20,"&gt;0")+COUNTIF(Finland!S20,"&gt;0")+COUNTIF(Germany!S20,"&gt;0")+COUNTIF(Lithuania!S20,"&gt;0")+COUNTIF(Netherlands!S20,"&gt;0")+COUNTIF(Norway!S20,"&gt;0")+COUNTIF(Slovenia!S20,"&gt;0")+COUNTIF(Sweden!S20,"&gt;0")+COUNTIF(Switzerland!S20,"&gt;0")+COUNTIF('United Kingdom'!S20,"&gt;0")+COUNTIF(Canada!S20,"&gt;0")+COUNTIF(USA!S20,"&gt;0")</f>
        <v>1</v>
      </c>
      <c r="T20" s="788">
        <f>COUNTIF(Austria!T20,"&gt;0")+COUNTIF('Czech Republic'!T20,"&gt;0")+COUNTIF(France!T20,"&gt;0")+COUNTIF(Finland!T20,"&gt;0")+COUNTIF(Germany!T20,"&gt;0")+COUNTIF(Lithuania!T20,"&gt;0")+COUNTIF(Netherlands!T20,"&gt;0")+COUNTIF(Norway!T20,"&gt;0")+COUNTIF(Slovenia!T20,"&gt;0")+COUNTIF(Sweden!T20,"&gt;0")+COUNTIF(Switzerland!T20,"&gt;0")+COUNTIF('United Kingdom'!T20,"&gt;0")+COUNTIF(Canada!T20,"&gt;0")+COUNTIF(USA!T20,"&gt;0")</f>
        <v>1</v>
      </c>
      <c r="U20" s="788">
        <f>COUNTIF(Austria!U20,"&gt;0")+COUNTIF('Czech Republic'!U20,"&gt;0")+COUNTIF(France!U20,"&gt;0")+COUNTIF(Finland!U20,"&gt;0")+COUNTIF(Germany!U20,"&gt;0")+COUNTIF(Lithuania!U20,"&gt;0")+COUNTIF(Netherlands!U20,"&gt;0")+COUNTIF(Norway!U20,"&gt;0")+COUNTIF(Slovenia!U20,"&gt;0")+COUNTIF(Sweden!U20,"&gt;0")+COUNTIF(Switzerland!U20,"&gt;0")+COUNTIF('United Kingdom'!U20,"&gt;0")+COUNTIF(Canada!U20,"&gt;0")+COUNTIF(USA!U20,"&gt;0")</f>
        <v>2</v>
      </c>
      <c r="V20" s="788">
        <f>COUNTIF(Austria!V20,"&gt;0")+COUNTIF('Czech Republic'!V20,"&gt;0")+COUNTIF(France!V20,"&gt;0")+COUNTIF(Finland!V20,"&gt;0")+COUNTIF(Germany!V20,"&gt;0")+COUNTIF(Lithuania!V20,"&gt;0")+COUNTIF(Netherlands!V20,"&gt;0")+COUNTIF(Norway!V20,"&gt;0")+COUNTIF(Slovenia!V20,"&gt;0")+COUNTIF(Sweden!V20,"&gt;0")+COUNTIF(Switzerland!V20,"&gt;0")+COUNTIF('United Kingdom'!V20,"&gt;0")+COUNTIF(Canada!V20,"&gt;0")+COUNTIF(USA!V20,"&gt;0")</f>
        <v>4</v>
      </c>
      <c r="W20" s="788">
        <f>COUNTIF(Austria!W20,"&gt;0")+COUNTIF('Czech Republic'!W20,"&gt;0")+COUNTIF(France!W20,"&gt;0")+COUNTIF(Finland!W20,"&gt;0")+COUNTIF(Germany!W20,"&gt;0")+COUNTIF(Lithuania!W20,"&gt;0")+COUNTIF(Netherlands!W20,"&gt;0")+COUNTIF(Norway!W20,"&gt;0")+COUNTIF(Slovenia!W20,"&gt;0")+COUNTIF(Sweden!W20,"&gt;0")+COUNTIF(Switzerland!W20,"&gt;0")+COUNTIF('United Kingdom'!W20,"&gt;0")+COUNTIF(Canada!W20,"&gt;0")+COUNTIF(USA!W20,"&gt;0")</f>
        <v>0</v>
      </c>
      <c r="X20" s="788">
        <f>COUNTIF(Austria!X20,"&gt;0")+COUNTIF('Czech Republic'!X20,"&gt;0")+COUNTIF(France!X20,"&gt;0")+COUNTIF(Finland!X20,"&gt;0")+COUNTIF(Germany!X20,"&gt;0")+COUNTIF(Lithuania!X20,"&gt;0")+COUNTIF(Netherlands!X20,"&gt;0")+COUNTIF(Norway!X20,"&gt;0")+COUNTIF(Slovenia!X20,"&gt;0")+COUNTIF(Sweden!X20,"&gt;0")+COUNTIF(Switzerland!X20,"&gt;0")+COUNTIF('United Kingdom'!X20,"&gt;0")+COUNTIF(Canada!X20,"&gt;0")+COUNTIF(USA!X20,"&gt;0")</f>
        <v>0</v>
      </c>
      <c r="Y20" s="788">
        <f>COUNTIF(Austria!Y20,"&gt;0")+COUNTIF('Czech Republic'!Y20,"&gt;0")+COUNTIF(France!Y20,"&gt;0")+COUNTIF(Finland!Y20,"&gt;0")+COUNTIF(Germany!Y20,"&gt;0")+COUNTIF(Lithuania!Y20,"&gt;0")+COUNTIF(Netherlands!Y20,"&gt;0")+COUNTIF(Norway!Y20,"&gt;0")+COUNTIF(Slovenia!Y20,"&gt;0")+COUNTIF(Sweden!Y20,"&gt;0")+COUNTIF(Switzerland!Y20,"&gt;0")+COUNTIF('United Kingdom'!Y20,"&gt;0")+COUNTIF(Canada!Y20,"&gt;0")+COUNTIF(USA!Y20,"&gt;0")</f>
        <v>0</v>
      </c>
      <c r="Z20" s="788">
        <f>COUNTIF(Austria!Z20,"&gt;0")+COUNTIF('Czech Republic'!Z20,"&gt;0")+COUNTIF(France!Z20,"&gt;0")+COUNTIF(Finland!Z20,"&gt;0")+COUNTIF(Germany!Z20,"&gt;0")+COUNTIF(Lithuania!Z20,"&gt;0")+COUNTIF(Netherlands!Z20,"&gt;0")+COUNTIF(Norway!Z20,"&gt;0")+COUNTIF(Slovenia!Z20,"&gt;0")+COUNTIF(Sweden!Z20,"&gt;0")+COUNTIF(Switzerland!Z20,"&gt;0")+COUNTIF('United Kingdom'!Z20,"&gt;0")+COUNTIF(Canada!Z20,"&gt;0")+COUNTIF(USA!Z20,"&gt;0")</f>
        <v>0</v>
      </c>
      <c r="AA20" s="788">
        <f>COUNTIF(Austria!AA20,"&gt;0")+COUNTIF('Czech Republic'!AA20,"&gt;0")+COUNTIF(France!AA20,"&gt;0")+COUNTIF(Finland!AA20,"&gt;0")+COUNTIF(Germany!AA20,"&gt;0")+COUNTIF(Lithuania!AA20,"&gt;0")+COUNTIF(Netherlands!AA20,"&gt;0")+COUNTIF(Norway!AA20,"&gt;0")+COUNTIF(Slovenia!AA20,"&gt;0")+COUNTIF(Sweden!AA20,"&gt;0")+COUNTIF(Switzerland!AA20,"&gt;0")+COUNTIF('United Kingdom'!AA20,"&gt;0")+COUNTIF(Canada!AA20,"&gt;0")+COUNTIF(USA!AA20,"&gt;0")</f>
        <v>0</v>
      </c>
      <c r="AB20" s="788">
        <f>COUNTIF(Austria!AB20,"&gt;0")+COUNTIF('Czech Republic'!AB20,"&gt;0")+COUNTIF(France!AB20,"&gt;0")+COUNTIF(Finland!AB20,"&gt;0")+COUNTIF(Germany!AB20,"&gt;0")+COUNTIF(Lithuania!AB20,"&gt;0")+COUNTIF(Netherlands!AB20,"&gt;0")+COUNTIF(Norway!AB20,"&gt;0")+COUNTIF(Slovenia!AB20,"&gt;0")+COUNTIF(Sweden!AB20,"&gt;0")+COUNTIF(Switzerland!AB20,"&gt;0")+COUNTIF('United Kingdom'!AB20,"&gt;0")+COUNTIF(Canada!AB20,"&gt;0")+COUNTIF(USA!AB20,"&gt;0")</f>
        <v>0</v>
      </c>
      <c r="AC20" s="788">
        <f>COUNTIF(Austria!AC20,"&gt;0")+COUNTIF('Czech Republic'!AC20,"&gt;0")+COUNTIF(France!AC20,"&gt;0")+COUNTIF(Finland!AC20,"&gt;0")+COUNTIF(Germany!AC20,"&gt;0")+COUNTIF(Lithuania!AC20,"&gt;0")+COUNTIF(Netherlands!AC20,"&gt;0")+COUNTIF(Norway!AC20,"&gt;0")+COUNTIF(Slovenia!AC20,"&gt;0")+COUNTIF(Sweden!AC20,"&gt;0")+COUNTIF(Switzerland!AC20,"&gt;0")+COUNTIF('United Kingdom'!AC20,"&gt;0")+COUNTIF(Canada!AC20,"&gt;0")+COUNTIF(USA!AC20,"&gt;0")</f>
        <v>3</v>
      </c>
      <c r="AD20" s="788">
        <f>COUNTIF(Austria!AD20,"&gt;0")+COUNTIF('Czech Republic'!AD20,"&gt;0")+COUNTIF(France!AD20,"&gt;0")+COUNTIF(Finland!AD20,"&gt;0")+COUNTIF(Germany!AD20,"&gt;0")+COUNTIF(Lithuania!AD20,"&gt;0")+COUNTIF(Netherlands!AD20,"&gt;0")+COUNTIF(Norway!AD20,"&gt;0")+COUNTIF(Slovenia!AD20,"&gt;0")+COUNTIF(Sweden!AD20,"&gt;0")+COUNTIF(Switzerland!AD20,"&gt;0")+COUNTIF('United Kingdom'!AD20,"&gt;0")+COUNTIF(Canada!AD20,"&gt;0")+COUNTIF(USA!AD20,"&gt;0")</f>
        <v>0</v>
      </c>
      <c r="AE20" s="788">
        <f>COUNTIF(Austria!AE20,"&gt;0")+COUNTIF('Czech Republic'!AE20,"&gt;0")+COUNTIF(France!AE20,"&gt;0")+COUNTIF(Finland!AE20,"&gt;0")+COUNTIF(Germany!AE20,"&gt;0")+COUNTIF(Lithuania!AE20,"&gt;0")+COUNTIF(Netherlands!AE20,"&gt;0")+COUNTIF(Norway!AE20,"&gt;0")+COUNTIF(Slovenia!AE20,"&gt;0")+COUNTIF(Sweden!AE20,"&gt;0")+COUNTIF(Switzerland!AE20,"&gt;0")+COUNTIF('United Kingdom'!AE20,"&gt;0")+COUNTIF(Canada!AE20,"&gt;0")+COUNTIF(USA!AE20,"&gt;0")</f>
        <v>0</v>
      </c>
      <c r="AF20" s="788">
        <f>COUNTIF(Austria!AF20,"&gt;0")+COUNTIF('Czech Republic'!AF20,"&gt;0")+COUNTIF(France!AF20,"&gt;0")+COUNTIF(Finland!AF20,"&gt;0")+COUNTIF(Germany!AF20,"&gt;0")+COUNTIF(Lithuania!AF20,"&gt;0")+COUNTIF(Netherlands!AF20,"&gt;0")+COUNTIF(Norway!AF20,"&gt;0")+COUNTIF(Slovenia!AF20,"&gt;0")+COUNTIF(Sweden!AF20,"&gt;0")+COUNTIF(Switzerland!AF20,"&gt;0")+COUNTIF('United Kingdom'!AF20,"&gt;0")+COUNTIF(Canada!AF20,"&gt;0")+COUNTIF(USA!AF20,"&gt;0")</f>
        <v>3</v>
      </c>
      <c r="AG20" s="127"/>
      <c r="AH20" s="60" t="s">
        <v>85</v>
      </c>
    </row>
    <row r="21" spans="3:34" ht="35.25" customHeight="1" thickBot="1">
      <c r="C21" s="51" t="s">
        <v>88</v>
      </c>
      <c r="D21" s="5"/>
      <c r="E21" s="1391"/>
      <c r="F21" s="83" t="s">
        <v>89</v>
      </c>
      <c r="G21" s="84" t="s">
        <v>87</v>
      </c>
      <c r="H21" s="788">
        <f>COUNTIF(Austria!H21,"&gt;0")+COUNTIF('Czech Republic'!H21,"&gt;0")+COUNTIF(France!H21,"&gt;0")+COUNTIF(Finland!H21,"&gt;0")+COUNTIF(Germany!H21,"&gt;0")+COUNTIF(Lithuania!H21,"&gt;0")+COUNTIF(Netherlands!H21,"&gt;0")+COUNTIF(Norway!H21,"&gt;0")+COUNTIF(Slovenia!H21,"&gt;0")+COUNTIF(Sweden!H21,"&gt;0")+COUNTIF(Switzerland!H21,"&gt;0")+COUNTIF('United Kingdom'!H21,"&gt;0")+COUNTIF(Canada!H21,"&gt;0")+COUNTIF(USA!H21,"&gt;0")</f>
        <v>11</v>
      </c>
      <c r="I21" s="788">
        <f>COUNTIF(Austria!I21,"&gt;0")+COUNTIF('Czech Republic'!I21,"&gt;0")+COUNTIF(France!I21,"&gt;0")+COUNTIF(Finland!I21,"&gt;0")+COUNTIF(Germany!I21,"&gt;0")+COUNTIF(Lithuania!I21,"&gt;0")+COUNTIF(Netherlands!I21,"&gt;0")+COUNTIF(Norway!I21,"&gt;0")+COUNTIF(Slovenia!I21,"&gt;0")+COUNTIF(Sweden!I21,"&gt;0")+COUNTIF(Switzerland!I21,"&gt;0")+COUNTIF('United Kingdom'!I21,"&gt;0")+COUNTIF(Canada!I21,"&gt;0")+COUNTIF(USA!I21,"&gt;0")</f>
        <v>1</v>
      </c>
      <c r="J21" s="788">
        <f>COUNTIF(Austria!J21,"&gt;0")+COUNTIF('Czech Republic'!J21,"&gt;0")+COUNTIF(France!J21,"&gt;0")+COUNTIF(Finland!J21,"&gt;0")+COUNTIF(Germany!J21,"&gt;0")+COUNTIF(Lithuania!J21,"&gt;0")+COUNTIF(Netherlands!J21,"&gt;0")+COUNTIF(Norway!J21,"&gt;0")+COUNTIF(Slovenia!J21,"&gt;0")+COUNTIF(Sweden!J21,"&gt;0")+COUNTIF(Switzerland!J21,"&gt;0")+COUNTIF('United Kingdom'!J21,"&gt;0")+COUNTIF(Canada!J21,"&gt;0")+COUNTIF(USA!J21,"&gt;0")</f>
        <v>0</v>
      </c>
      <c r="K21" s="788">
        <f>COUNTIF(Austria!K21,"&gt;0")+COUNTIF('Czech Republic'!K21,"&gt;0")+COUNTIF(France!K21,"&gt;0")+COUNTIF(Finland!K21,"&gt;0")+COUNTIF(Germany!K21,"&gt;0")+COUNTIF(Lithuania!K21,"&gt;0")+COUNTIF(Netherlands!K21,"&gt;0")+COUNTIF(Norway!K21,"&gt;0")+COUNTIF(Slovenia!K21,"&gt;0")+COUNTIF(Sweden!K21,"&gt;0")+COUNTIF(Switzerland!K21,"&gt;0")+COUNTIF('United Kingdom'!K21,"&gt;0")+COUNTIF(Canada!K21,"&gt;0")+COUNTIF(USA!K21,"&gt;0")</f>
        <v>9</v>
      </c>
      <c r="L21" s="788">
        <f>COUNTIF(Austria!L21,"&gt;0")+COUNTIF('Czech Republic'!L21,"&gt;0")+COUNTIF(France!L21,"&gt;0")+COUNTIF(Finland!L21,"&gt;0")+COUNTIF(Germany!L21,"&gt;0")+COUNTIF(Lithuania!L21,"&gt;0")+COUNTIF(Netherlands!L21,"&gt;0")+COUNTIF(Norway!L21,"&gt;0")+COUNTIF(Slovenia!L21,"&gt;0")+COUNTIF(Sweden!L21,"&gt;0")+COUNTIF(Switzerland!L21,"&gt;0")+COUNTIF('United Kingdom'!L21,"&gt;0")+COUNTIF(Canada!L21,"&gt;0")+COUNTIF(USA!L21,"&gt;0")</f>
        <v>0</v>
      </c>
      <c r="M21" s="788">
        <f>COUNTIF(Austria!M21,"&gt;0")+COUNTIF('Czech Republic'!M21,"&gt;0")+COUNTIF(France!M21,"&gt;0")+COUNTIF(Finland!M21,"&gt;0")+COUNTIF(Germany!M21,"&gt;0")+COUNTIF(Lithuania!M21,"&gt;0")+COUNTIF(Netherlands!M21,"&gt;0")+COUNTIF(Norway!M21,"&gt;0")+COUNTIF(Slovenia!M21,"&gt;0")+COUNTIF(Sweden!M21,"&gt;0")+COUNTIF(Switzerland!M21,"&gt;0")+COUNTIF('United Kingdom'!M21,"&gt;0")+COUNTIF(Canada!M21,"&gt;0")+COUNTIF(USA!M21,"&gt;0")</f>
        <v>2</v>
      </c>
      <c r="N21" s="788">
        <f>COUNTIF(Austria!N21,"&gt;0")+COUNTIF('Czech Republic'!N21,"&gt;0")+COUNTIF(France!N21,"&gt;0")+COUNTIF(Finland!N21,"&gt;0")+COUNTIF(Germany!N21,"&gt;0")+COUNTIF(Lithuania!N21,"&gt;0")+COUNTIF(Netherlands!N21,"&gt;0")+COUNTIF(Norway!N21,"&gt;0")+COUNTIF(Slovenia!N21,"&gt;0")+COUNTIF(Sweden!N21,"&gt;0")+COUNTIF(Switzerland!N21,"&gt;0")+COUNTIF('United Kingdom'!N21,"&gt;0")+COUNTIF(Canada!N21,"&gt;0")+COUNTIF(USA!N21,"&gt;0")</f>
        <v>0</v>
      </c>
      <c r="O21" s="788">
        <f>COUNTIF(Austria!O21,"&gt;0")+COUNTIF('Czech Republic'!O21,"&gt;0")+COUNTIF(France!O21,"&gt;0")+COUNTIF(Finland!O21,"&gt;0")+COUNTIF(Germany!O21,"&gt;0")+COUNTIF(Lithuania!O21,"&gt;0")+COUNTIF(Netherlands!O21,"&gt;0")+COUNTIF(Norway!O21,"&gt;0")+COUNTIF(Slovenia!O21,"&gt;0")+COUNTIF(Sweden!O21,"&gt;0")+COUNTIF(Switzerland!O21,"&gt;0")+COUNTIF('United Kingdom'!O21,"&gt;0")+COUNTIF(Canada!O21,"&gt;0")+COUNTIF(USA!O21,"&gt;0")</f>
        <v>3</v>
      </c>
      <c r="P21" s="788">
        <f>COUNTIF(Austria!P21,"&gt;0")+COUNTIF('Czech Republic'!P21,"&gt;0")+COUNTIF(France!P21,"&gt;0")+COUNTIF(Finland!P21,"&gt;0")+COUNTIF(Germany!P21,"&gt;0")+COUNTIF(Lithuania!P21,"&gt;0")+COUNTIF(Netherlands!P21,"&gt;0")+COUNTIF(Norway!P21,"&gt;0")+COUNTIF(Slovenia!P21,"&gt;0")+COUNTIF(Sweden!P21,"&gt;0")+COUNTIF(Switzerland!P21,"&gt;0")+COUNTIF('United Kingdom'!P21,"&gt;0")+COUNTIF(Canada!P21,"&gt;0")+COUNTIF(USA!P21,"&gt;0")</f>
        <v>1</v>
      </c>
      <c r="Q21" s="788">
        <f>COUNTIF(Austria!Q21,"&gt;0")+COUNTIF('Czech Republic'!Q21,"&gt;0")+COUNTIF(France!Q21,"&gt;0")+COUNTIF(Finland!Q21,"&gt;0")+COUNTIF(Germany!Q21,"&gt;0")+COUNTIF(Lithuania!Q21,"&gt;0")+COUNTIF(Netherlands!Q21,"&gt;0")+COUNTIF(Norway!Q21,"&gt;0")+COUNTIF(Slovenia!Q21,"&gt;0")+COUNTIF(Sweden!Q21,"&gt;0")+COUNTIF(Switzerland!Q21,"&gt;0")+COUNTIF('United Kingdom'!Q21,"&gt;0")+COUNTIF(Canada!Q21,"&gt;0")+COUNTIF(USA!Q21,"&gt;0")</f>
        <v>0</v>
      </c>
      <c r="R21" s="788">
        <f>COUNTIF(Austria!R21,"&gt;0")+COUNTIF('Czech Republic'!R21,"&gt;0")+COUNTIF(France!R21,"&gt;0")+COUNTIF(Finland!R21,"&gt;0")+COUNTIF(Germany!R21,"&gt;0")+COUNTIF(Lithuania!R21,"&gt;0")+COUNTIF(Netherlands!R21,"&gt;0")+COUNTIF(Norway!R21,"&gt;0")+COUNTIF(Slovenia!R21,"&gt;0")+COUNTIF(Sweden!R21,"&gt;0")+COUNTIF(Switzerland!R21,"&gt;0")+COUNTIF('United Kingdom'!R21,"&gt;0")+COUNTIF(Canada!R21,"&gt;0")+COUNTIF(USA!R21,"&gt;0")</f>
        <v>0</v>
      </c>
      <c r="S21" s="788">
        <f>COUNTIF(Austria!S21,"&gt;0")+COUNTIF('Czech Republic'!S21,"&gt;0")+COUNTIF(France!S21,"&gt;0")+COUNTIF(Finland!S21,"&gt;0")+COUNTIF(Germany!S21,"&gt;0")+COUNTIF(Lithuania!S21,"&gt;0")+COUNTIF(Netherlands!S21,"&gt;0")+COUNTIF(Norway!S21,"&gt;0")+COUNTIF(Slovenia!S21,"&gt;0")+COUNTIF(Sweden!S21,"&gt;0")+COUNTIF(Switzerland!S21,"&gt;0")+COUNTIF('United Kingdom'!S21,"&gt;0")+COUNTIF(Canada!S21,"&gt;0")+COUNTIF(USA!S21,"&gt;0")</f>
        <v>2</v>
      </c>
      <c r="T21" s="788">
        <f>COUNTIF(Austria!T21,"&gt;0")+COUNTIF('Czech Republic'!T21,"&gt;0")+COUNTIF(France!T21,"&gt;0")+COUNTIF(Finland!T21,"&gt;0")+COUNTIF(Germany!T21,"&gt;0")+COUNTIF(Lithuania!T21,"&gt;0")+COUNTIF(Netherlands!T21,"&gt;0")+COUNTIF(Norway!T21,"&gt;0")+COUNTIF(Slovenia!T21,"&gt;0")+COUNTIF(Sweden!T21,"&gt;0")+COUNTIF(Switzerland!T21,"&gt;0")+COUNTIF('United Kingdom'!T21,"&gt;0")+COUNTIF(Canada!T21,"&gt;0")+COUNTIF(USA!T21,"&gt;0")</f>
        <v>4</v>
      </c>
      <c r="U21" s="788">
        <f>COUNTIF(Austria!U21,"&gt;0")+COUNTIF('Czech Republic'!U21,"&gt;0")+COUNTIF(France!U21,"&gt;0")+COUNTIF(Finland!U21,"&gt;0")+COUNTIF(Germany!U21,"&gt;0")+COUNTIF(Lithuania!U21,"&gt;0")+COUNTIF(Netherlands!U21,"&gt;0")+COUNTIF(Norway!U21,"&gt;0")+COUNTIF(Slovenia!U21,"&gt;0")+COUNTIF(Sweden!U21,"&gt;0")+COUNTIF(Switzerland!U21,"&gt;0")+COUNTIF('United Kingdom'!U21,"&gt;0")+COUNTIF(Canada!U21,"&gt;0")+COUNTIF(USA!U21,"&gt;0")</f>
        <v>3</v>
      </c>
      <c r="V21" s="788">
        <f>COUNTIF(Austria!V21,"&gt;0")+COUNTIF('Czech Republic'!V21,"&gt;0")+COUNTIF(France!V21,"&gt;0")+COUNTIF(Finland!V21,"&gt;0")+COUNTIF(Germany!V21,"&gt;0")+COUNTIF(Lithuania!V21,"&gt;0")+COUNTIF(Netherlands!V21,"&gt;0")+COUNTIF(Norway!V21,"&gt;0")+COUNTIF(Slovenia!V21,"&gt;0")+COUNTIF(Sweden!V21,"&gt;0")+COUNTIF(Switzerland!V21,"&gt;0")+COUNTIF('United Kingdom'!V21,"&gt;0")+COUNTIF(Canada!V21,"&gt;0")+COUNTIF(USA!V21,"&gt;0")</f>
        <v>9</v>
      </c>
      <c r="W21" s="788">
        <f>COUNTIF(Austria!W21,"&gt;0")+COUNTIF('Czech Republic'!W21,"&gt;0")+COUNTIF(France!W21,"&gt;0")+COUNTIF(Finland!W21,"&gt;0")+COUNTIF(Germany!W21,"&gt;0")+COUNTIF(Lithuania!W21,"&gt;0")+COUNTIF(Netherlands!W21,"&gt;0")+COUNTIF(Norway!W21,"&gt;0")+COUNTIF(Slovenia!W21,"&gt;0")+COUNTIF(Sweden!W21,"&gt;0")+COUNTIF(Switzerland!W21,"&gt;0")+COUNTIF('United Kingdom'!W21,"&gt;0")+COUNTIF(Canada!W21,"&gt;0")+COUNTIF(USA!W21,"&gt;0")</f>
        <v>1</v>
      </c>
      <c r="X21" s="788">
        <f>COUNTIF(Austria!X21,"&gt;0")+COUNTIF('Czech Republic'!X21,"&gt;0")+COUNTIF(France!X21,"&gt;0")+COUNTIF(Finland!X21,"&gt;0")+COUNTIF(Germany!X21,"&gt;0")+COUNTIF(Lithuania!X21,"&gt;0")+COUNTIF(Netherlands!X21,"&gt;0")+COUNTIF(Norway!X21,"&gt;0")+COUNTIF(Slovenia!X21,"&gt;0")+COUNTIF(Sweden!X21,"&gt;0")+COUNTIF(Switzerland!X21,"&gt;0")+COUNTIF('United Kingdom'!X21,"&gt;0")+COUNTIF(Canada!X21,"&gt;0")+COUNTIF(USA!X21,"&gt;0")</f>
        <v>1</v>
      </c>
      <c r="Y21" s="788">
        <f>COUNTIF(Austria!Y21,"&gt;0")+COUNTIF('Czech Republic'!Y21,"&gt;0")+COUNTIF(France!Y21,"&gt;0")+COUNTIF(Finland!Y21,"&gt;0")+COUNTIF(Germany!Y21,"&gt;0")+COUNTIF(Lithuania!Y21,"&gt;0")+COUNTIF(Netherlands!Y21,"&gt;0")+COUNTIF(Norway!Y21,"&gt;0")+COUNTIF(Slovenia!Y21,"&gt;0")+COUNTIF(Sweden!Y21,"&gt;0")+COUNTIF(Switzerland!Y21,"&gt;0")+COUNTIF('United Kingdom'!Y21,"&gt;0")+COUNTIF(Canada!Y21,"&gt;0")+COUNTIF(USA!Y21,"&gt;0")</f>
        <v>1</v>
      </c>
      <c r="Z21" s="788">
        <f>COUNTIF(Austria!Z21,"&gt;0")+COUNTIF('Czech Republic'!Z21,"&gt;0")+COUNTIF(France!Z21,"&gt;0")+COUNTIF(Finland!Z21,"&gt;0")+COUNTIF(Germany!Z21,"&gt;0")+COUNTIF(Lithuania!Z21,"&gt;0")+COUNTIF(Netherlands!Z21,"&gt;0")+COUNTIF(Norway!Z21,"&gt;0")+COUNTIF(Slovenia!Z21,"&gt;0")+COUNTIF(Sweden!Z21,"&gt;0")+COUNTIF(Switzerland!Z21,"&gt;0")+COUNTIF('United Kingdom'!Z21,"&gt;0")+COUNTIF(Canada!Z21,"&gt;0")+COUNTIF(USA!Z21,"&gt;0")</f>
        <v>1</v>
      </c>
      <c r="AA21" s="788">
        <f>COUNTIF(Austria!AA21,"&gt;0")+COUNTIF('Czech Republic'!AA21,"&gt;0")+COUNTIF(France!AA21,"&gt;0")+COUNTIF(Finland!AA21,"&gt;0")+COUNTIF(Germany!AA21,"&gt;0")+COUNTIF(Lithuania!AA21,"&gt;0")+COUNTIF(Netherlands!AA21,"&gt;0")+COUNTIF(Norway!AA21,"&gt;0")+COUNTIF(Slovenia!AA21,"&gt;0")+COUNTIF(Sweden!AA21,"&gt;0")+COUNTIF(Switzerland!AA21,"&gt;0")+COUNTIF('United Kingdom'!AA21,"&gt;0")+COUNTIF(Canada!AA21,"&gt;0")+COUNTIF(USA!AA21,"&gt;0")</f>
        <v>1</v>
      </c>
      <c r="AB21" s="788">
        <f>COUNTIF(Austria!AB21,"&gt;0")+COUNTIF('Czech Republic'!AB21,"&gt;0")+COUNTIF(France!AB21,"&gt;0")+COUNTIF(Finland!AB21,"&gt;0")+COUNTIF(Germany!AB21,"&gt;0")+COUNTIF(Lithuania!AB21,"&gt;0")+COUNTIF(Netherlands!AB21,"&gt;0")+COUNTIF(Norway!AB21,"&gt;0")+COUNTIF(Slovenia!AB21,"&gt;0")+COUNTIF(Sweden!AB21,"&gt;0")+COUNTIF(Switzerland!AB21,"&gt;0")+COUNTIF('United Kingdom'!AB21,"&gt;0")+COUNTIF(Canada!AB21,"&gt;0")+COUNTIF(USA!AB21,"&gt;0")</f>
        <v>1</v>
      </c>
      <c r="AC21" s="788">
        <f>COUNTIF(Austria!AC21,"&gt;0")+COUNTIF('Czech Republic'!AC21,"&gt;0")+COUNTIF(France!AC21,"&gt;0")+COUNTIF(Finland!AC21,"&gt;0")+COUNTIF(Germany!AC21,"&gt;0")+COUNTIF(Lithuania!AC21,"&gt;0")+COUNTIF(Netherlands!AC21,"&gt;0")+COUNTIF(Norway!AC21,"&gt;0")+COUNTIF(Slovenia!AC21,"&gt;0")+COUNTIF(Sweden!AC21,"&gt;0")+COUNTIF(Switzerland!AC21,"&gt;0")+COUNTIF('United Kingdom'!AC21,"&gt;0")+COUNTIF(Canada!AC21,"&gt;0")+COUNTIF(USA!AC21,"&gt;0")</f>
        <v>2</v>
      </c>
      <c r="AD21" s="788">
        <f>COUNTIF(Austria!AD21,"&gt;0")+COUNTIF('Czech Republic'!AD21,"&gt;0")+COUNTIF(France!AD21,"&gt;0")+COUNTIF(Finland!AD21,"&gt;0")+COUNTIF(Germany!AD21,"&gt;0")+COUNTIF(Lithuania!AD21,"&gt;0")+COUNTIF(Netherlands!AD21,"&gt;0")+COUNTIF(Norway!AD21,"&gt;0")+COUNTIF(Slovenia!AD21,"&gt;0")+COUNTIF(Sweden!AD21,"&gt;0")+COUNTIF(Switzerland!AD21,"&gt;0")+COUNTIF('United Kingdom'!AD21,"&gt;0")+COUNTIF(Canada!AD21,"&gt;0")+COUNTIF(USA!AD21,"&gt;0")</f>
        <v>0</v>
      </c>
      <c r="AE21" s="788">
        <f>COUNTIF(Austria!AE21,"&gt;0")+COUNTIF('Czech Republic'!AE21,"&gt;0")+COUNTIF(France!AE21,"&gt;0")+COUNTIF(Finland!AE21,"&gt;0")+COUNTIF(Germany!AE21,"&gt;0")+COUNTIF(Lithuania!AE21,"&gt;0")+COUNTIF(Netherlands!AE21,"&gt;0")+COUNTIF(Norway!AE21,"&gt;0")+COUNTIF(Slovenia!AE21,"&gt;0")+COUNTIF(Sweden!AE21,"&gt;0")+COUNTIF(Switzerland!AE21,"&gt;0")+COUNTIF('United Kingdom'!AE21,"&gt;0")+COUNTIF(Canada!AE21,"&gt;0")+COUNTIF(USA!AE21,"&gt;0")</f>
        <v>0</v>
      </c>
      <c r="AF21" s="788">
        <f>COUNTIF(Austria!AF21,"&gt;0")+COUNTIF('Czech Republic'!AF21,"&gt;0")+COUNTIF(France!AF21,"&gt;0")+COUNTIF(Finland!AF21,"&gt;0")+COUNTIF(Germany!AF21,"&gt;0")+COUNTIF(Lithuania!AF21,"&gt;0")+COUNTIF(Netherlands!AF21,"&gt;0")+COUNTIF(Norway!AF21,"&gt;0")+COUNTIF(Slovenia!AF21,"&gt;0")+COUNTIF(Sweden!AF21,"&gt;0")+COUNTIF(Switzerland!AF21,"&gt;0")+COUNTIF('United Kingdom'!AF21,"&gt;0")+COUNTIF(Canada!AF21,"&gt;0")+COUNTIF(USA!AF21,"&gt;0")</f>
        <v>4</v>
      </c>
      <c r="AG21" s="127"/>
      <c r="AH21" s="51" t="s">
        <v>88</v>
      </c>
    </row>
    <row r="22" spans="3:34" ht="28.5" customHeight="1" thickBot="1">
      <c r="C22" s="60" t="s">
        <v>90</v>
      </c>
      <c r="D22" s="5"/>
      <c r="E22" s="1391"/>
      <c r="F22" s="61" t="s">
        <v>91</v>
      </c>
      <c r="G22" s="80" t="s">
        <v>120</v>
      </c>
      <c r="H22" s="788">
        <f>COUNTIF(Austria!H22,"&gt;0")+COUNTIF('Czech Republic'!H22,"&gt;0")+COUNTIF(France!H22,"&gt;0")+COUNTIF(Finland!H22,"&gt;0")+COUNTIF(Germany!H22,"&gt;0")+COUNTIF(Lithuania!H22,"&gt;0")+COUNTIF(Netherlands!H22,"&gt;0")+COUNTIF(Norway!H22,"&gt;0")+COUNTIF(Slovenia!H22,"&gt;0")+COUNTIF(Sweden!H22,"&gt;0")+COUNTIF(Switzerland!H22,"&gt;0")+COUNTIF('United Kingdom'!H22,"&gt;0")+COUNTIF(Canada!H22,"&gt;0")+COUNTIF(USA!H22,"&gt;0")</f>
        <v>11</v>
      </c>
      <c r="I22" s="788">
        <f>COUNTIF(Austria!I22,"&gt;0")+COUNTIF('Czech Republic'!I22,"&gt;0")+COUNTIF(France!I22,"&gt;0")+COUNTIF(Finland!I22,"&gt;0")+COUNTIF(Germany!I22,"&gt;0")+COUNTIF(Lithuania!I22,"&gt;0")+COUNTIF(Netherlands!I22,"&gt;0")+COUNTIF(Norway!I22,"&gt;0")+COUNTIF(Slovenia!I22,"&gt;0")+COUNTIF(Sweden!I22,"&gt;0")+COUNTIF(Switzerland!I22,"&gt;0")+COUNTIF('United Kingdom'!I22,"&gt;0")+COUNTIF(Canada!I22,"&gt;0")+COUNTIF(USA!I22,"&gt;0")</f>
        <v>2</v>
      </c>
      <c r="J22" s="788">
        <f>COUNTIF(Austria!J22,"&gt;0")+COUNTIF('Czech Republic'!J22,"&gt;0")+COUNTIF(France!J22,"&gt;0")+COUNTIF(Finland!J22,"&gt;0")+COUNTIF(Germany!J22,"&gt;0")+COUNTIF(Lithuania!J22,"&gt;0")+COUNTIF(Netherlands!J22,"&gt;0")+COUNTIF(Norway!J22,"&gt;0")+COUNTIF(Slovenia!J22,"&gt;0")+COUNTIF(Sweden!J22,"&gt;0")+COUNTIF(Switzerland!J22,"&gt;0")+COUNTIF('United Kingdom'!J22,"&gt;0")+COUNTIF(Canada!J22,"&gt;0")+COUNTIF(USA!J22,"&gt;0")</f>
        <v>4</v>
      </c>
      <c r="K22" s="788">
        <f>COUNTIF(Austria!K22,"&gt;0")+COUNTIF('Czech Republic'!K22,"&gt;0")+COUNTIF(France!K22,"&gt;0")+COUNTIF(Finland!K22,"&gt;0")+COUNTIF(Germany!K22,"&gt;0")+COUNTIF(Lithuania!K22,"&gt;0")+COUNTIF(Netherlands!K22,"&gt;0")+COUNTIF(Norway!K22,"&gt;0")+COUNTIF(Slovenia!K22,"&gt;0")+COUNTIF(Sweden!K22,"&gt;0")+COUNTIF(Switzerland!K22,"&gt;0")+COUNTIF('United Kingdom'!K22,"&gt;0")+COUNTIF(Canada!K22,"&gt;0")+COUNTIF(USA!K22,"&gt;0")</f>
        <v>10</v>
      </c>
      <c r="L22" s="788">
        <f>COUNTIF(Austria!L22,"&gt;0")+COUNTIF('Czech Republic'!L22,"&gt;0")+COUNTIF(France!L22,"&gt;0")+COUNTIF(Finland!L22,"&gt;0")+COUNTIF(Germany!L22,"&gt;0")+COUNTIF(Lithuania!L22,"&gt;0")+COUNTIF(Netherlands!L22,"&gt;0")+COUNTIF(Norway!L22,"&gt;0")+COUNTIF(Slovenia!L22,"&gt;0")+COUNTIF(Sweden!L22,"&gt;0")+COUNTIF(Switzerland!L22,"&gt;0")+COUNTIF('United Kingdom'!L22,"&gt;0")+COUNTIF(Canada!L22,"&gt;0")+COUNTIF(USA!L22,"&gt;0")</f>
        <v>0</v>
      </c>
      <c r="M22" s="788">
        <f>COUNTIF(Austria!M22,"&gt;0")+COUNTIF('Czech Republic'!M22,"&gt;0")+COUNTIF(France!M22,"&gt;0")+COUNTIF(Finland!M22,"&gt;0")+COUNTIF(Germany!M22,"&gt;0")+COUNTIF(Lithuania!M22,"&gt;0")+COUNTIF(Netherlands!M22,"&gt;0")+COUNTIF(Norway!M22,"&gt;0")+COUNTIF(Slovenia!M22,"&gt;0")+COUNTIF(Sweden!M22,"&gt;0")+COUNTIF(Switzerland!M22,"&gt;0")+COUNTIF('United Kingdom'!M22,"&gt;0")+COUNTIF(Canada!M22,"&gt;0")+COUNTIF(USA!M22,"&gt;0")</f>
        <v>3</v>
      </c>
      <c r="N22" s="788">
        <f>COUNTIF(Austria!N22,"&gt;0")+COUNTIF('Czech Republic'!N22,"&gt;0")+COUNTIF(France!N22,"&gt;0")+COUNTIF(Finland!N22,"&gt;0")+COUNTIF(Germany!N22,"&gt;0")+COUNTIF(Lithuania!N22,"&gt;0")+COUNTIF(Netherlands!N22,"&gt;0")+COUNTIF(Norway!N22,"&gt;0")+COUNTIF(Slovenia!N22,"&gt;0")+COUNTIF(Sweden!N22,"&gt;0")+COUNTIF(Switzerland!N22,"&gt;0")+COUNTIF('United Kingdom'!N22,"&gt;0")+COUNTIF(Canada!N22,"&gt;0")+COUNTIF(USA!N22,"&gt;0")</f>
        <v>0</v>
      </c>
      <c r="O22" s="788">
        <f>COUNTIF(Austria!O22,"&gt;0")+COUNTIF('Czech Republic'!O22,"&gt;0")+COUNTIF(France!O22,"&gt;0")+COUNTIF(Finland!O22,"&gt;0")+COUNTIF(Germany!O22,"&gt;0")+COUNTIF(Lithuania!O22,"&gt;0")+COUNTIF(Netherlands!O22,"&gt;0")+COUNTIF(Norway!O22,"&gt;0")+COUNTIF(Slovenia!O22,"&gt;0")+COUNTIF(Sweden!O22,"&gt;0")+COUNTIF(Switzerland!O22,"&gt;0")+COUNTIF('United Kingdom'!O22,"&gt;0")+COUNTIF(Canada!O22,"&gt;0")+COUNTIF(USA!O22,"&gt;0")</f>
        <v>4</v>
      </c>
      <c r="P22" s="788">
        <f>COUNTIF(Austria!P22,"&gt;0")+COUNTIF('Czech Republic'!P22,"&gt;0")+COUNTIF(France!P22,"&gt;0")+COUNTIF(Finland!P22,"&gt;0")+COUNTIF(Germany!P22,"&gt;0")+COUNTIF(Lithuania!P22,"&gt;0")+COUNTIF(Netherlands!P22,"&gt;0")+COUNTIF(Norway!P22,"&gt;0")+COUNTIF(Slovenia!P22,"&gt;0")+COUNTIF(Sweden!P22,"&gt;0")+COUNTIF(Switzerland!P22,"&gt;0")+COUNTIF('United Kingdom'!P22,"&gt;0")+COUNTIF(Canada!P22,"&gt;0")+COUNTIF(USA!P22,"&gt;0")</f>
        <v>1</v>
      </c>
      <c r="Q22" s="788">
        <f>COUNTIF(Austria!Q22,"&gt;0")+COUNTIF('Czech Republic'!Q22,"&gt;0")+COUNTIF(France!Q22,"&gt;0")+COUNTIF(Finland!Q22,"&gt;0")+COUNTIF(Germany!Q22,"&gt;0")+COUNTIF(Lithuania!Q22,"&gt;0")+COUNTIF(Netherlands!Q22,"&gt;0")+COUNTIF(Norway!Q22,"&gt;0")+COUNTIF(Slovenia!Q22,"&gt;0")+COUNTIF(Sweden!Q22,"&gt;0")+COUNTIF(Switzerland!Q22,"&gt;0")+COUNTIF('United Kingdom'!Q22,"&gt;0")+COUNTIF(Canada!Q22,"&gt;0")+COUNTIF(USA!Q22,"&gt;0")</f>
        <v>0</v>
      </c>
      <c r="R22" s="788">
        <f>COUNTIF(Austria!R22,"&gt;0")+COUNTIF('Czech Republic'!R22,"&gt;0")+COUNTIF(France!R22,"&gt;0")+COUNTIF(Finland!R22,"&gt;0")+COUNTIF(Germany!R22,"&gt;0")+COUNTIF(Lithuania!R22,"&gt;0")+COUNTIF(Netherlands!R22,"&gt;0")+COUNTIF(Norway!R22,"&gt;0")+COUNTIF(Slovenia!R22,"&gt;0")+COUNTIF(Sweden!R22,"&gt;0")+COUNTIF(Switzerland!R22,"&gt;0")+COUNTIF('United Kingdom'!R22,"&gt;0")+COUNTIF(Canada!R22,"&gt;0")+COUNTIF(USA!R22,"&gt;0")</f>
        <v>0</v>
      </c>
      <c r="S22" s="788">
        <f>COUNTIF(Austria!S22,"&gt;0")+COUNTIF('Czech Republic'!S22,"&gt;0")+COUNTIF(France!S22,"&gt;0")+COUNTIF(Finland!S22,"&gt;0")+COUNTIF(Germany!S22,"&gt;0")+COUNTIF(Lithuania!S22,"&gt;0")+COUNTIF(Netherlands!S22,"&gt;0")+COUNTIF(Norway!S22,"&gt;0")+COUNTIF(Slovenia!S22,"&gt;0")+COUNTIF(Sweden!S22,"&gt;0")+COUNTIF(Switzerland!S22,"&gt;0")+COUNTIF('United Kingdom'!S22,"&gt;0")+COUNTIF(Canada!S22,"&gt;0")+COUNTIF(USA!S22,"&gt;0")</f>
        <v>4</v>
      </c>
      <c r="T22" s="788">
        <f>COUNTIF(Austria!T22,"&gt;0")+COUNTIF('Czech Republic'!T22,"&gt;0")+COUNTIF(France!T22,"&gt;0")+COUNTIF(Finland!T22,"&gt;0")+COUNTIF(Germany!T22,"&gt;0")+COUNTIF(Lithuania!T22,"&gt;0")+COUNTIF(Netherlands!T22,"&gt;0")+COUNTIF(Norway!T22,"&gt;0")+COUNTIF(Slovenia!T22,"&gt;0")+COUNTIF(Sweden!T22,"&gt;0")+COUNTIF(Switzerland!T22,"&gt;0")+COUNTIF('United Kingdom'!T22,"&gt;0")+COUNTIF(Canada!T22,"&gt;0")+COUNTIF(USA!T22,"&gt;0")</f>
        <v>3</v>
      </c>
      <c r="U22" s="788">
        <f>COUNTIF(Austria!U22,"&gt;0")+COUNTIF('Czech Republic'!U22,"&gt;0")+COUNTIF(France!U22,"&gt;0")+COUNTIF(Finland!U22,"&gt;0")+COUNTIF(Germany!U22,"&gt;0")+COUNTIF(Lithuania!U22,"&gt;0")+COUNTIF(Netherlands!U22,"&gt;0")+COUNTIF(Norway!U22,"&gt;0")+COUNTIF(Slovenia!U22,"&gt;0")+COUNTIF(Sweden!U22,"&gt;0")+COUNTIF(Switzerland!U22,"&gt;0")+COUNTIF('United Kingdom'!U22,"&gt;0")+COUNTIF(Canada!U22,"&gt;0")+COUNTIF(USA!U22,"&gt;0")</f>
        <v>4</v>
      </c>
      <c r="V22" s="788">
        <f>COUNTIF(Austria!V22,"&gt;0")+COUNTIF('Czech Republic'!V22,"&gt;0")+COUNTIF(France!V22,"&gt;0")+COUNTIF(Finland!V22,"&gt;0")+COUNTIF(Germany!V22,"&gt;0")+COUNTIF(Lithuania!V22,"&gt;0")+COUNTIF(Netherlands!V22,"&gt;0")+COUNTIF(Norway!V22,"&gt;0")+COUNTIF(Slovenia!V22,"&gt;0")+COUNTIF(Sweden!V22,"&gt;0")+COUNTIF(Switzerland!V22,"&gt;0")+COUNTIF('United Kingdom'!V22,"&gt;0")+COUNTIF(Canada!V22,"&gt;0")+COUNTIF(USA!V22,"&gt;0")</f>
        <v>6</v>
      </c>
      <c r="W22" s="788">
        <f>COUNTIF(Austria!W22,"&gt;0")+COUNTIF('Czech Republic'!W22,"&gt;0")+COUNTIF(France!W22,"&gt;0")+COUNTIF(Finland!W22,"&gt;0")+COUNTIF(Germany!W22,"&gt;0")+COUNTIF(Lithuania!W22,"&gt;0")+COUNTIF(Netherlands!W22,"&gt;0")+COUNTIF(Norway!W22,"&gt;0")+COUNTIF(Slovenia!W22,"&gt;0")+COUNTIF(Sweden!W22,"&gt;0")+COUNTIF(Switzerland!W22,"&gt;0")+COUNTIF('United Kingdom'!W22,"&gt;0")+COUNTIF(Canada!W22,"&gt;0")+COUNTIF(USA!W22,"&gt;0")</f>
        <v>2</v>
      </c>
      <c r="X22" s="788">
        <f>COUNTIF(Austria!X22,"&gt;0")+COUNTIF('Czech Republic'!X22,"&gt;0")+COUNTIF(France!X22,"&gt;0")+COUNTIF(Finland!X22,"&gt;0")+COUNTIF(Germany!X22,"&gt;0")+COUNTIF(Lithuania!X22,"&gt;0")+COUNTIF(Netherlands!X22,"&gt;0")+COUNTIF(Norway!X22,"&gt;0")+COUNTIF(Slovenia!X22,"&gt;0")+COUNTIF(Sweden!X22,"&gt;0")+COUNTIF(Switzerland!X22,"&gt;0")+COUNTIF('United Kingdom'!X22,"&gt;0")+COUNTIF(Canada!X22,"&gt;0")+COUNTIF(USA!X22,"&gt;0")</f>
        <v>2</v>
      </c>
      <c r="Y22" s="788">
        <f>COUNTIF(Austria!Y22,"&gt;0")+COUNTIF('Czech Republic'!Y22,"&gt;0")+COUNTIF(France!Y22,"&gt;0")+COUNTIF(Finland!Y22,"&gt;0")+COUNTIF(Germany!Y22,"&gt;0")+COUNTIF(Lithuania!Y22,"&gt;0")+COUNTIF(Netherlands!Y22,"&gt;0")+COUNTIF(Norway!Y22,"&gt;0")+COUNTIF(Slovenia!Y22,"&gt;0")+COUNTIF(Sweden!Y22,"&gt;0")+COUNTIF(Switzerland!Y22,"&gt;0")+COUNTIF('United Kingdom'!Y22,"&gt;0")+COUNTIF(Canada!Y22,"&gt;0")+COUNTIF(USA!Y22,"&gt;0")</f>
        <v>2</v>
      </c>
      <c r="Z22" s="788">
        <f>COUNTIF(Austria!Z22,"&gt;0")+COUNTIF('Czech Republic'!Z22,"&gt;0")+COUNTIF(France!Z22,"&gt;0")+COUNTIF(Finland!Z22,"&gt;0")+COUNTIF(Germany!Z22,"&gt;0")+COUNTIF(Lithuania!Z22,"&gt;0")+COUNTIF(Netherlands!Z22,"&gt;0")+COUNTIF(Norway!Z22,"&gt;0")+COUNTIF(Slovenia!Z22,"&gt;0")+COUNTIF(Sweden!Z22,"&gt;0")+COUNTIF(Switzerland!Z22,"&gt;0")+COUNTIF('United Kingdom'!Z22,"&gt;0")+COUNTIF(Canada!Z22,"&gt;0")+COUNTIF(USA!Z22,"&gt;0")</f>
        <v>3</v>
      </c>
      <c r="AA22" s="788">
        <f>COUNTIF(Austria!AA22,"&gt;0")+COUNTIF('Czech Republic'!AA22,"&gt;0")+COUNTIF(France!AA22,"&gt;0")+COUNTIF(Finland!AA22,"&gt;0")+COUNTIF(Germany!AA22,"&gt;0")+COUNTIF(Lithuania!AA22,"&gt;0")+COUNTIF(Netherlands!AA22,"&gt;0")+COUNTIF(Norway!AA22,"&gt;0")+COUNTIF(Slovenia!AA22,"&gt;0")+COUNTIF(Sweden!AA22,"&gt;0")+COUNTIF(Switzerland!AA22,"&gt;0")+COUNTIF('United Kingdom'!AA22,"&gt;0")+COUNTIF(Canada!AA22,"&gt;0")+COUNTIF(USA!AA22,"&gt;0")</f>
        <v>2</v>
      </c>
      <c r="AB22" s="788">
        <f>COUNTIF(Austria!AB22,"&gt;0")+COUNTIF('Czech Republic'!AB22,"&gt;0")+COUNTIF(France!AB22,"&gt;0")+COUNTIF(Finland!AB22,"&gt;0")+COUNTIF(Germany!AB22,"&gt;0")+COUNTIF(Lithuania!AB22,"&gt;0")+COUNTIF(Netherlands!AB22,"&gt;0")+COUNTIF(Norway!AB22,"&gt;0")+COUNTIF(Slovenia!AB22,"&gt;0")+COUNTIF(Sweden!AB22,"&gt;0")+COUNTIF(Switzerland!AB22,"&gt;0")+COUNTIF('United Kingdom'!AB22,"&gt;0")+COUNTIF(Canada!AB22,"&gt;0")+COUNTIF(USA!AB22,"&gt;0")</f>
        <v>4</v>
      </c>
      <c r="AC22" s="788">
        <f>COUNTIF(Austria!AC22,"&gt;0")+COUNTIF('Czech Republic'!AC22,"&gt;0")+COUNTIF(France!AC22,"&gt;0")+COUNTIF(Finland!AC22,"&gt;0")+COUNTIF(Germany!AC22,"&gt;0")+COUNTIF(Lithuania!AC22,"&gt;0")+COUNTIF(Netherlands!AC22,"&gt;0")+COUNTIF(Norway!AC22,"&gt;0")+COUNTIF(Slovenia!AC22,"&gt;0")+COUNTIF(Sweden!AC22,"&gt;0")+COUNTIF(Switzerland!AC22,"&gt;0")+COUNTIF('United Kingdom'!AC22,"&gt;0")+COUNTIF(Canada!AC22,"&gt;0")+COUNTIF(USA!AC22,"&gt;0")</f>
        <v>0</v>
      </c>
      <c r="AD22" s="788">
        <f>COUNTIF(Austria!AD22,"&gt;0")+COUNTIF('Czech Republic'!AD22,"&gt;0")+COUNTIF(France!AD22,"&gt;0")+COUNTIF(Finland!AD22,"&gt;0")+COUNTIF(Germany!AD22,"&gt;0")+COUNTIF(Lithuania!AD22,"&gt;0")+COUNTIF(Netherlands!AD22,"&gt;0")+COUNTIF(Norway!AD22,"&gt;0")+COUNTIF(Slovenia!AD22,"&gt;0")+COUNTIF(Sweden!AD22,"&gt;0")+COUNTIF(Switzerland!AD22,"&gt;0")+COUNTIF('United Kingdom'!AD22,"&gt;0")+COUNTIF(Canada!AD22,"&gt;0")+COUNTIF(USA!AD22,"&gt;0")</f>
        <v>0</v>
      </c>
      <c r="AE22" s="788">
        <f>COUNTIF(Austria!AE22,"&gt;0")+COUNTIF('Czech Republic'!AE22,"&gt;0")+COUNTIF(France!AE22,"&gt;0")+COUNTIF(Finland!AE22,"&gt;0")+COUNTIF(Germany!AE22,"&gt;0")+COUNTIF(Lithuania!AE22,"&gt;0")+COUNTIF(Netherlands!AE22,"&gt;0")+COUNTIF(Norway!AE22,"&gt;0")+COUNTIF(Slovenia!AE22,"&gt;0")+COUNTIF(Sweden!AE22,"&gt;0")+COUNTIF(Switzerland!AE22,"&gt;0")+COUNTIF('United Kingdom'!AE22,"&gt;0")+COUNTIF(Canada!AE22,"&gt;0")+COUNTIF(USA!AE22,"&gt;0")</f>
        <v>0</v>
      </c>
      <c r="AF22" s="788">
        <f>COUNTIF(Austria!AF22,"&gt;0")+COUNTIF('Czech Republic'!AF22,"&gt;0")+COUNTIF(France!AF22,"&gt;0")+COUNTIF(Finland!AF22,"&gt;0")+COUNTIF(Germany!AF22,"&gt;0")+COUNTIF(Lithuania!AF22,"&gt;0")+COUNTIF(Netherlands!AF22,"&gt;0")+COUNTIF(Norway!AF22,"&gt;0")+COUNTIF(Slovenia!AF22,"&gt;0")+COUNTIF(Sweden!AF22,"&gt;0")+COUNTIF(Switzerland!AF22,"&gt;0")+COUNTIF('United Kingdom'!AF22,"&gt;0")+COUNTIF(Canada!AF22,"&gt;0")+COUNTIF(USA!AF22,"&gt;0")</f>
        <v>1</v>
      </c>
      <c r="AG22" s="127"/>
      <c r="AH22" s="60" t="s">
        <v>90</v>
      </c>
    </row>
    <row r="23" spans="3:34" ht="28.5" customHeight="1" thickBot="1">
      <c r="C23" s="51" t="s">
        <v>94</v>
      </c>
      <c r="D23" s="5"/>
      <c r="E23" s="1391"/>
      <c r="F23" s="61" t="s">
        <v>95</v>
      </c>
      <c r="G23" s="80" t="s">
        <v>99</v>
      </c>
      <c r="H23" s="788">
        <f>COUNTIF(Austria!H23,"&gt;0")+COUNTIF('Czech Republic'!H23,"&gt;0")+COUNTIF(France!H23,"&gt;0")+COUNTIF(Finland!H23,"&gt;0")+COUNTIF(Germany!H23,"&gt;0")+COUNTIF(Lithuania!H23,"&gt;0")+COUNTIF(Netherlands!H23,"&gt;0")+COUNTIF(Norway!H23,"&gt;0")+COUNTIF(Slovenia!H23,"&gt;0")+COUNTIF(Sweden!H23,"&gt;0")+COUNTIF(Switzerland!H23,"&gt;0")+COUNTIF('United Kingdom'!H23,"&gt;0")+COUNTIF(Canada!H23,"&gt;0")+COUNTIF(USA!H23,"&gt;0")</f>
        <v>10</v>
      </c>
      <c r="I23" s="788">
        <f>COUNTIF(Austria!I23,"&gt;0")+COUNTIF('Czech Republic'!I23,"&gt;0")+COUNTIF(France!I23,"&gt;0")+COUNTIF(Finland!I23,"&gt;0")+COUNTIF(Germany!I23,"&gt;0")+COUNTIF(Lithuania!I23,"&gt;0")+COUNTIF(Netherlands!I23,"&gt;0")+COUNTIF(Norway!I23,"&gt;0")+COUNTIF(Slovenia!I23,"&gt;0")+COUNTIF(Sweden!I23,"&gt;0")+COUNTIF(Switzerland!I23,"&gt;0")+COUNTIF('United Kingdom'!I23,"&gt;0")+COUNTIF(Canada!I23,"&gt;0")+COUNTIF(USA!I23,"&gt;0")</f>
        <v>11</v>
      </c>
      <c r="J23" s="788">
        <f>COUNTIF(Austria!J23,"&gt;0")+COUNTIF('Czech Republic'!J23,"&gt;0")+COUNTIF(France!J23,"&gt;0")+COUNTIF(Finland!J23,"&gt;0")+COUNTIF(Germany!J23,"&gt;0")+COUNTIF(Lithuania!J23,"&gt;0")+COUNTIF(Netherlands!J23,"&gt;0")+COUNTIF(Norway!J23,"&gt;0")+COUNTIF(Slovenia!J23,"&gt;0")+COUNTIF(Sweden!J23,"&gt;0")+COUNTIF(Switzerland!J23,"&gt;0")+COUNTIF('United Kingdom'!J23,"&gt;0")+COUNTIF(Canada!J23,"&gt;0")+COUNTIF(USA!J23,"&gt;0")</f>
        <v>11</v>
      </c>
      <c r="K23" s="788">
        <f>COUNTIF(Austria!K23,"&gt;0")+COUNTIF('Czech Republic'!K23,"&gt;0")+COUNTIF(France!K23,"&gt;0")+COUNTIF(Finland!K23,"&gt;0")+COUNTIF(Germany!K23,"&gt;0")+COUNTIF(Lithuania!K23,"&gt;0")+COUNTIF(Netherlands!K23,"&gt;0")+COUNTIF(Norway!K23,"&gt;0")+COUNTIF(Slovenia!K23,"&gt;0")+COUNTIF(Sweden!K23,"&gt;0")+COUNTIF(Switzerland!K23,"&gt;0")+COUNTIF('United Kingdom'!K23,"&gt;0")+COUNTIF(Canada!K23,"&gt;0")+COUNTIF(USA!K23,"&gt;0")</f>
        <v>11</v>
      </c>
      <c r="L23" s="788">
        <f>COUNTIF(Austria!L23,"&gt;0")+COUNTIF('Czech Republic'!L23,"&gt;0")+COUNTIF(France!L23,"&gt;0")+COUNTIF(Finland!L23,"&gt;0")+COUNTIF(Germany!L23,"&gt;0")+COUNTIF(Lithuania!L23,"&gt;0")+COUNTIF(Netherlands!L23,"&gt;0")+COUNTIF(Norway!L23,"&gt;0")+COUNTIF(Slovenia!L23,"&gt;0")+COUNTIF(Sweden!L23,"&gt;0")+COUNTIF(Switzerland!L23,"&gt;0")+COUNTIF('United Kingdom'!L23,"&gt;0")+COUNTIF(Canada!L23,"&gt;0")+COUNTIF(USA!L23,"&gt;0")</f>
        <v>0</v>
      </c>
      <c r="M23" s="788">
        <f>COUNTIF(Austria!M23,"&gt;0")+COUNTIF('Czech Republic'!M23,"&gt;0")+COUNTIF(France!M23,"&gt;0")+COUNTIF(Finland!M23,"&gt;0")+COUNTIF(Germany!M23,"&gt;0")+COUNTIF(Lithuania!M23,"&gt;0")+COUNTIF(Netherlands!M23,"&gt;0")+COUNTIF(Norway!M23,"&gt;0")+COUNTIF(Slovenia!M23,"&gt;0")+COUNTIF(Sweden!M23,"&gt;0")+COUNTIF(Switzerland!M23,"&gt;0")+COUNTIF('United Kingdom'!M23,"&gt;0")+COUNTIF(Canada!M23,"&gt;0")+COUNTIF(USA!M23,"&gt;0")</f>
        <v>0</v>
      </c>
      <c r="N23" s="788">
        <f>COUNTIF(Austria!N23,"&gt;0")+COUNTIF('Czech Republic'!N23,"&gt;0")+COUNTIF(France!N23,"&gt;0")+COUNTIF(Finland!N23,"&gt;0")+COUNTIF(Germany!N23,"&gt;0")+COUNTIF(Lithuania!N23,"&gt;0")+COUNTIF(Netherlands!N23,"&gt;0")+COUNTIF(Norway!N23,"&gt;0")+COUNTIF(Slovenia!N23,"&gt;0")+COUNTIF(Sweden!N23,"&gt;0")+COUNTIF(Switzerland!N23,"&gt;0")+COUNTIF('United Kingdom'!N23,"&gt;0")+COUNTIF(Canada!N23,"&gt;0")+COUNTIF(USA!N23,"&gt;0")</f>
        <v>0</v>
      </c>
      <c r="O23" s="788">
        <f>COUNTIF(Austria!O23,"&gt;0")+COUNTIF('Czech Republic'!O23,"&gt;0")+COUNTIF(France!O23,"&gt;0")+COUNTIF(Finland!O23,"&gt;0")+COUNTIF(Germany!O23,"&gt;0")+COUNTIF(Lithuania!O23,"&gt;0")+COUNTIF(Netherlands!O23,"&gt;0")+COUNTIF(Norway!O23,"&gt;0")+COUNTIF(Slovenia!O23,"&gt;0")+COUNTIF(Sweden!O23,"&gt;0")+COUNTIF(Switzerland!O23,"&gt;0")+COUNTIF('United Kingdom'!O23,"&gt;0")+COUNTIF(Canada!O23,"&gt;0")+COUNTIF(USA!O23,"&gt;0")</f>
        <v>0</v>
      </c>
      <c r="P23" s="788">
        <f>COUNTIF(Austria!P23,"&gt;0")+COUNTIF('Czech Republic'!P23,"&gt;0")+COUNTIF(France!P23,"&gt;0")+COUNTIF(Finland!P23,"&gt;0")+COUNTIF(Germany!P23,"&gt;0")+COUNTIF(Lithuania!P23,"&gt;0")+COUNTIF(Netherlands!P23,"&gt;0")+COUNTIF(Norway!P23,"&gt;0")+COUNTIF(Slovenia!P23,"&gt;0")+COUNTIF(Sweden!P23,"&gt;0")+COUNTIF(Switzerland!P23,"&gt;0")+COUNTIF('United Kingdom'!P23,"&gt;0")+COUNTIF(Canada!P23,"&gt;0")+COUNTIF(USA!P23,"&gt;0")</f>
        <v>0</v>
      </c>
      <c r="Q23" s="788">
        <f>COUNTIF(Austria!Q23,"&gt;0")+COUNTIF('Czech Republic'!Q23,"&gt;0")+COUNTIF(France!Q23,"&gt;0")+COUNTIF(Finland!Q23,"&gt;0")+COUNTIF(Germany!Q23,"&gt;0")+COUNTIF(Lithuania!Q23,"&gt;0")+COUNTIF(Netherlands!Q23,"&gt;0")+COUNTIF(Norway!Q23,"&gt;0")+COUNTIF(Slovenia!Q23,"&gt;0")+COUNTIF(Sweden!Q23,"&gt;0")+COUNTIF(Switzerland!Q23,"&gt;0")+COUNTIF('United Kingdom'!Q23,"&gt;0")+COUNTIF(Canada!Q23,"&gt;0")+COUNTIF(USA!Q23,"&gt;0")</f>
        <v>0</v>
      </c>
      <c r="R23" s="788">
        <f>COUNTIF(Austria!R23,"&gt;0")+COUNTIF('Czech Republic'!R23,"&gt;0")+COUNTIF(France!R23,"&gt;0")+COUNTIF(Finland!R23,"&gt;0")+COUNTIF(Germany!R23,"&gt;0")+COUNTIF(Lithuania!R23,"&gt;0")+COUNTIF(Netherlands!R23,"&gt;0")+COUNTIF(Norway!R23,"&gt;0")+COUNTIF(Slovenia!R23,"&gt;0")+COUNTIF(Sweden!R23,"&gt;0")+COUNTIF(Switzerland!R23,"&gt;0")+COUNTIF('United Kingdom'!R23,"&gt;0")+COUNTIF(Canada!R23,"&gt;0")+COUNTIF(USA!R23,"&gt;0")</f>
        <v>0</v>
      </c>
      <c r="S23" s="788">
        <f>COUNTIF(Austria!S23,"&gt;0")+COUNTIF('Czech Republic'!S23,"&gt;0")+COUNTIF(France!S23,"&gt;0")+COUNTIF(Finland!S23,"&gt;0")+COUNTIF(Germany!S23,"&gt;0")+COUNTIF(Lithuania!S23,"&gt;0")+COUNTIF(Netherlands!S23,"&gt;0")+COUNTIF(Norway!S23,"&gt;0")+COUNTIF(Slovenia!S23,"&gt;0")+COUNTIF(Sweden!S23,"&gt;0")+COUNTIF(Switzerland!S23,"&gt;0")+COUNTIF('United Kingdom'!S23,"&gt;0")+COUNTIF(Canada!S23,"&gt;0")+COUNTIF(USA!S23,"&gt;0")</f>
        <v>0</v>
      </c>
      <c r="T23" s="788">
        <f>COUNTIF(Austria!T23,"&gt;0")+COUNTIF('Czech Republic'!T23,"&gt;0")+COUNTIF(France!T23,"&gt;0")+COUNTIF(Finland!T23,"&gt;0")+COUNTIF(Germany!T23,"&gt;0")+COUNTIF(Lithuania!T23,"&gt;0")+COUNTIF(Netherlands!T23,"&gt;0")+COUNTIF(Norway!T23,"&gt;0")+COUNTIF(Slovenia!T23,"&gt;0")+COUNTIF(Sweden!T23,"&gt;0")+COUNTIF(Switzerland!T23,"&gt;0")+COUNTIF('United Kingdom'!T23,"&gt;0")+COUNTIF(Canada!T23,"&gt;0")+COUNTIF(USA!T23,"&gt;0")</f>
        <v>0</v>
      </c>
      <c r="U23" s="788">
        <f>COUNTIF(Austria!U23,"&gt;0")+COUNTIF('Czech Republic'!U23,"&gt;0")+COUNTIF(France!U23,"&gt;0")+COUNTIF(Finland!U23,"&gt;0")+COUNTIF(Germany!U23,"&gt;0")+COUNTIF(Lithuania!U23,"&gt;0")+COUNTIF(Netherlands!U23,"&gt;0")+COUNTIF(Norway!U23,"&gt;0")+COUNTIF(Slovenia!U23,"&gt;0")+COUNTIF(Sweden!U23,"&gt;0")+COUNTIF(Switzerland!U23,"&gt;0")+COUNTIF('United Kingdom'!U23,"&gt;0")+COUNTIF(Canada!U23,"&gt;0")+COUNTIF(USA!U23,"&gt;0")</f>
        <v>0</v>
      </c>
      <c r="V23" s="788">
        <f>COUNTIF(Austria!V23,"&gt;0")+COUNTIF('Czech Republic'!V23,"&gt;0")+COUNTIF(France!V23,"&gt;0")+COUNTIF(Finland!V23,"&gt;0")+COUNTIF(Germany!V23,"&gt;0")+COUNTIF(Lithuania!V23,"&gt;0")+COUNTIF(Netherlands!V23,"&gt;0")+COUNTIF(Norway!V23,"&gt;0")+COUNTIF(Slovenia!V23,"&gt;0")+COUNTIF(Sweden!V23,"&gt;0")+COUNTIF(Switzerland!V23,"&gt;0")+COUNTIF('United Kingdom'!V23,"&gt;0")+COUNTIF(Canada!V23,"&gt;0")+COUNTIF(USA!V23,"&gt;0")</f>
        <v>0</v>
      </c>
      <c r="W23" s="788">
        <f>COUNTIF(Austria!W23,"&gt;0")+COUNTIF('Czech Republic'!W23,"&gt;0")+COUNTIF(France!W23,"&gt;0")+COUNTIF(Finland!W23,"&gt;0")+COUNTIF(Germany!W23,"&gt;0")+COUNTIF(Lithuania!W23,"&gt;0")+COUNTIF(Netherlands!W23,"&gt;0")+COUNTIF(Norway!W23,"&gt;0")+COUNTIF(Slovenia!W23,"&gt;0")+COUNTIF(Sweden!W23,"&gt;0")+COUNTIF(Switzerland!W23,"&gt;0")+COUNTIF('United Kingdom'!W23,"&gt;0")+COUNTIF(Canada!W23,"&gt;0")+COUNTIF(USA!W23,"&gt;0")</f>
        <v>0</v>
      </c>
      <c r="X23" s="788">
        <f>COUNTIF(Austria!X23,"&gt;0")+COUNTIF('Czech Republic'!X23,"&gt;0")+COUNTIF(France!X23,"&gt;0")+COUNTIF(Finland!X23,"&gt;0")+COUNTIF(Germany!X23,"&gt;0")+COUNTIF(Lithuania!X23,"&gt;0")+COUNTIF(Netherlands!X23,"&gt;0")+COUNTIF(Norway!X23,"&gt;0")+COUNTIF(Slovenia!X23,"&gt;0")+COUNTIF(Sweden!X23,"&gt;0")+COUNTIF(Switzerland!X23,"&gt;0")+COUNTIF('United Kingdom'!X23,"&gt;0")+COUNTIF(Canada!X23,"&gt;0")+COUNTIF(USA!X23,"&gt;0")</f>
        <v>0</v>
      </c>
      <c r="Y23" s="788">
        <f>COUNTIF(Austria!Y23,"&gt;0")+COUNTIF('Czech Republic'!Y23,"&gt;0")+COUNTIF(France!Y23,"&gt;0")+COUNTIF(Finland!Y23,"&gt;0")+COUNTIF(Germany!Y23,"&gt;0")+COUNTIF(Lithuania!Y23,"&gt;0")+COUNTIF(Netherlands!Y23,"&gt;0")+COUNTIF(Norway!Y23,"&gt;0")+COUNTIF(Slovenia!Y23,"&gt;0")+COUNTIF(Sweden!Y23,"&gt;0")+COUNTIF(Switzerland!Y23,"&gt;0")+COUNTIF('United Kingdom'!Y23,"&gt;0")+COUNTIF(Canada!Y23,"&gt;0")+COUNTIF(USA!Y23,"&gt;0")</f>
        <v>0</v>
      </c>
      <c r="Z23" s="788">
        <f>COUNTIF(Austria!Z23,"&gt;0")+COUNTIF('Czech Republic'!Z23,"&gt;0")+COUNTIF(France!Z23,"&gt;0")+COUNTIF(Finland!Z23,"&gt;0")+COUNTIF(Germany!Z23,"&gt;0")+COUNTIF(Lithuania!Z23,"&gt;0")+COUNTIF(Netherlands!Z23,"&gt;0")+COUNTIF(Norway!Z23,"&gt;0")+COUNTIF(Slovenia!Z23,"&gt;0")+COUNTIF(Sweden!Z23,"&gt;0")+COUNTIF(Switzerland!Z23,"&gt;0")+COUNTIF('United Kingdom'!Z23,"&gt;0")+COUNTIF(Canada!Z23,"&gt;0")+COUNTIF(USA!Z23,"&gt;0")</f>
        <v>0</v>
      </c>
      <c r="AA23" s="788">
        <f>COUNTIF(Austria!AA23,"&gt;0")+COUNTIF('Czech Republic'!AA23,"&gt;0")+COUNTIF(France!AA23,"&gt;0")+COUNTIF(Finland!AA23,"&gt;0")+COUNTIF(Germany!AA23,"&gt;0")+COUNTIF(Lithuania!AA23,"&gt;0")+COUNTIF(Netherlands!AA23,"&gt;0")+COUNTIF(Norway!AA23,"&gt;0")+COUNTIF(Slovenia!AA23,"&gt;0")+COUNTIF(Sweden!AA23,"&gt;0")+COUNTIF(Switzerland!AA23,"&gt;0")+COUNTIF('United Kingdom'!AA23,"&gt;0")+COUNTIF(Canada!AA23,"&gt;0")+COUNTIF(USA!AA23,"&gt;0")</f>
        <v>1</v>
      </c>
      <c r="AB23" s="788">
        <f>COUNTIF(Austria!AB23,"&gt;0")+COUNTIF('Czech Republic'!AB23,"&gt;0")+COUNTIF(France!AB23,"&gt;0")+COUNTIF(Finland!AB23,"&gt;0")+COUNTIF(Germany!AB23,"&gt;0")+COUNTIF(Lithuania!AB23,"&gt;0")+COUNTIF(Netherlands!AB23,"&gt;0")+COUNTIF(Norway!AB23,"&gt;0")+COUNTIF(Slovenia!AB23,"&gt;0")+COUNTIF(Sweden!AB23,"&gt;0")+COUNTIF(Switzerland!AB23,"&gt;0")+COUNTIF('United Kingdom'!AB23,"&gt;0")+COUNTIF(Canada!AB23,"&gt;0")+COUNTIF(USA!AB23,"&gt;0")</f>
        <v>0</v>
      </c>
      <c r="AC23" s="788">
        <f>COUNTIF(Austria!AC23,"&gt;0")+COUNTIF('Czech Republic'!AC23,"&gt;0")+COUNTIF(France!AC23,"&gt;0")+COUNTIF(Finland!AC23,"&gt;0")+COUNTIF(Germany!AC23,"&gt;0")+COUNTIF(Lithuania!AC23,"&gt;0")+COUNTIF(Netherlands!AC23,"&gt;0")+COUNTIF(Norway!AC23,"&gt;0")+COUNTIF(Slovenia!AC23,"&gt;0")+COUNTIF(Sweden!AC23,"&gt;0")+COUNTIF(Switzerland!AC23,"&gt;0")+COUNTIF('United Kingdom'!AC23,"&gt;0")+COUNTIF(Canada!AC23,"&gt;0")+COUNTIF(USA!AC23,"&gt;0")</f>
        <v>4</v>
      </c>
      <c r="AD23" s="788">
        <f>COUNTIF(Austria!AD23,"&gt;0")+COUNTIF('Czech Republic'!AD23,"&gt;0")+COUNTIF(France!AD23,"&gt;0")+COUNTIF(Finland!AD23,"&gt;0")+COUNTIF(Germany!AD23,"&gt;0")+COUNTIF(Lithuania!AD23,"&gt;0")+COUNTIF(Netherlands!AD23,"&gt;0")+COUNTIF(Norway!AD23,"&gt;0")+COUNTIF(Slovenia!AD23,"&gt;0")+COUNTIF(Sweden!AD23,"&gt;0")+COUNTIF(Switzerland!AD23,"&gt;0")+COUNTIF('United Kingdom'!AD23,"&gt;0")+COUNTIF(Canada!AD23,"&gt;0")+COUNTIF(USA!AD23,"&gt;0")</f>
        <v>0</v>
      </c>
      <c r="AE23" s="788">
        <f>COUNTIF(Austria!AE23,"&gt;0")+COUNTIF('Czech Republic'!AE23,"&gt;0")+COUNTIF(France!AE23,"&gt;0")+COUNTIF(Finland!AE23,"&gt;0")+COUNTIF(Germany!AE23,"&gt;0")+COUNTIF(Lithuania!AE23,"&gt;0")+COUNTIF(Netherlands!AE23,"&gt;0")+COUNTIF(Norway!AE23,"&gt;0")+COUNTIF(Slovenia!AE23,"&gt;0")+COUNTIF(Sweden!AE23,"&gt;0")+COUNTIF(Switzerland!AE23,"&gt;0")+COUNTIF('United Kingdom'!AE23,"&gt;0")+COUNTIF(Canada!AE23,"&gt;0")+COUNTIF(USA!AE23,"&gt;0")</f>
        <v>0</v>
      </c>
      <c r="AF23" s="788">
        <f>COUNTIF(Austria!AF23,"&gt;0")+COUNTIF('Czech Republic'!AF23,"&gt;0")+COUNTIF(France!AF23,"&gt;0")+COUNTIF(Finland!AF23,"&gt;0")+COUNTIF(Germany!AF23,"&gt;0")+COUNTIF(Lithuania!AF23,"&gt;0")+COUNTIF(Netherlands!AF23,"&gt;0")+COUNTIF(Norway!AF23,"&gt;0")+COUNTIF(Slovenia!AF23,"&gt;0")+COUNTIF(Sweden!AF23,"&gt;0")+COUNTIF(Switzerland!AF23,"&gt;0")+COUNTIF('United Kingdom'!AF23,"&gt;0")+COUNTIF(Canada!AF23,"&gt;0")+COUNTIF(USA!AF23,"&gt;0")</f>
        <v>9</v>
      </c>
      <c r="AG23" s="127"/>
      <c r="AH23" s="51" t="s">
        <v>94</v>
      </c>
    </row>
    <row r="24" spans="3:34" ht="28.5" customHeight="1" thickBot="1">
      <c r="C24" s="60" t="s">
        <v>97</v>
      </c>
      <c r="D24" s="5"/>
      <c r="E24" s="1391"/>
      <c r="F24" s="61" t="s">
        <v>98</v>
      </c>
      <c r="G24" s="102" t="s">
        <v>99</v>
      </c>
      <c r="H24" s="788">
        <f>COUNTIF(Austria!H24,"&gt;0")+COUNTIF('Czech Republic'!H24,"&gt;0")+COUNTIF(France!H24,"&gt;0")+COUNTIF(Finland!H24,"&gt;0")+COUNTIF(Germany!H24,"&gt;0")+COUNTIF(Lithuania!H24,"&gt;0")+COUNTIF(Netherlands!H24,"&gt;0")+COUNTIF(Norway!H24,"&gt;0")+COUNTIF(Slovenia!H24,"&gt;0")+COUNTIF(Sweden!H24,"&gt;0")+COUNTIF(Switzerland!H24,"&gt;0")+COUNTIF('United Kingdom'!H24,"&gt;0")+COUNTIF(Canada!H24,"&gt;0")+COUNTIF(USA!H24,"&gt;0")</f>
        <v>13</v>
      </c>
      <c r="I24" s="788">
        <f>COUNTIF(Austria!I24,"&gt;0")+COUNTIF('Czech Republic'!I24,"&gt;0")+COUNTIF(France!I24,"&gt;0")+COUNTIF(Finland!I24,"&gt;0")+COUNTIF(Germany!I24,"&gt;0")+COUNTIF(Lithuania!I24,"&gt;0")+COUNTIF(Netherlands!I24,"&gt;0")+COUNTIF(Norway!I24,"&gt;0")+COUNTIF(Slovenia!I24,"&gt;0")+COUNTIF(Sweden!I24,"&gt;0")+COUNTIF(Switzerland!I24,"&gt;0")+COUNTIF('United Kingdom'!I24,"&gt;0")+COUNTIF(Canada!I24,"&gt;0")+COUNTIF(USA!I24,"&gt;0")</f>
        <v>8</v>
      </c>
      <c r="J24" s="788">
        <f>COUNTIF(Austria!J24,"&gt;0")+COUNTIF('Czech Republic'!J24,"&gt;0")+COUNTIF(France!J24,"&gt;0")+COUNTIF(Finland!J24,"&gt;0")+COUNTIF(Germany!J24,"&gt;0")+COUNTIF(Lithuania!J24,"&gt;0")+COUNTIF(Netherlands!J24,"&gt;0")+COUNTIF(Norway!J24,"&gt;0")+COUNTIF(Slovenia!J24,"&gt;0")+COUNTIF(Sweden!J24,"&gt;0")+COUNTIF(Switzerland!J24,"&gt;0")+COUNTIF('United Kingdom'!J24,"&gt;0")+COUNTIF(Canada!J24,"&gt;0")+COUNTIF(USA!J24,"&gt;0")</f>
        <v>8</v>
      </c>
      <c r="K24" s="788">
        <f>COUNTIF(Austria!K24,"&gt;0")+COUNTIF('Czech Republic'!K24,"&gt;0")+COUNTIF(France!K24,"&gt;0")+COUNTIF(Finland!K24,"&gt;0")+COUNTIF(Germany!K24,"&gt;0")+COUNTIF(Lithuania!K24,"&gt;0")+COUNTIF(Netherlands!K24,"&gt;0")+COUNTIF(Norway!K24,"&gt;0")+COUNTIF(Slovenia!K24,"&gt;0")+COUNTIF(Sweden!K24,"&gt;0")+COUNTIF(Switzerland!K24,"&gt;0")+COUNTIF('United Kingdom'!K24,"&gt;0")+COUNTIF(Canada!K24,"&gt;0")+COUNTIF(USA!K24,"&gt;0")</f>
        <v>12</v>
      </c>
      <c r="L24" s="788">
        <f>COUNTIF(Austria!L24,"&gt;0")+COUNTIF('Czech Republic'!L24,"&gt;0")+COUNTIF(France!L24,"&gt;0")+COUNTIF(Finland!L24,"&gt;0")+COUNTIF(Germany!L24,"&gt;0")+COUNTIF(Lithuania!L24,"&gt;0")+COUNTIF(Netherlands!L24,"&gt;0")+COUNTIF(Norway!L24,"&gt;0")+COUNTIF(Slovenia!L24,"&gt;0")+COUNTIF(Sweden!L24,"&gt;0")+COUNTIF(Switzerland!L24,"&gt;0")+COUNTIF('United Kingdom'!L24,"&gt;0")+COUNTIF(Canada!L24,"&gt;0")+COUNTIF(USA!L24,"&gt;0")</f>
        <v>0</v>
      </c>
      <c r="M24" s="788">
        <f>COUNTIF(Austria!M24,"&gt;0")+COUNTIF('Czech Republic'!M24,"&gt;0")+COUNTIF(France!M24,"&gt;0")+COUNTIF(Finland!M24,"&gt;0")+COUNTIF(Germany!M24,"&gt;0")+COUNTIF(Lithuania!M24,"&gt;0")+COUNTIF(Netherlands!M24,"&gt;0")+COUNTIF(Norway!M24,"&gt;0")+COUNTIF(Slovenia!M24,"&gt;0")+COUNTIF(Sweden!M24,"&gt;0")+COUNTIF(Switzerland!M24,"&gt;0")+COUNTIF('United Kingdom'!M24,"&gt;0")+COUNTIF(Canada!M24,"&gt;0")+COUNTIF(USA!M24,"&gt;0")</f>
        <v>0</v>
      </c>
      <c r="N24" s="788">
        <f>COUNTIF(Austria!N24,"&gt;0")+COUNTIF('Czech Republic'!N24,"&gt;0")+COUNTIF(France!N24,"&gt;0")+COUNTIF(Finland!N24,"&gt;0")+COUNTIF(Germany!N24,"&gt;0")+COUNTIF(Lithuania!N24,"&gt;0")+COUNTIF(Netherlands!N24,"&gt;0")+COUNTIF(Norway!N24,"&gt;0")+COUNTIF(Slovenia!N24,"&gt;0")+COUNTIF(Sweden!N24,"&gt;0")+COUNTIF(Switzerland!N24,"&gt;0")+COUNTIF('United Kingdom'!N24,"&gt;0")+COUNTIF(Canada!N24,"&gt;0")+COUNTIF(USA!N24,"&gt;0")</f>
        <v>0</v>
      </c>
      <c r="O24" s="788">
        <f>COUNTIF(Austria!O24,"&gt;0")+COUNTIF('Czech Republic'!O24,"&gt;0")+COUNTIF(France!O24,"&gt;0")+COUNTIF(Finland!O24,"&gt;0")+COUNTIF(Germany!O24,"&gt;0")+COUNTIF(Lithuania!O24,"&gt;0")+COUNTIF(Netherlands!O24,"&gt;0")+COUNTIF(Norway!O24,"&gt;0")+COUNTIF(Slovenia!O24,"&gt;0")+COUNTIF(Sweden!O24,"&gt;0")+COUNTIF(Switzerland!O24,"&gt;0")+COUNTIF('United Kingdom'!O24,"&gt;0")+COUNTIF(Canada!O24,"&gt;0")+COUNTIF(USA!O24,"&gt;0")</f>
        <v>0</v>
      </c>
      <c r="P24" s="788">
        <f>COUNTIF(Austria!P24,"&gt;0")+COUNTIF('Czech Republic'!P24,"&gt;0")+COUNTIF(France!P24,"&gt;0")+COUNTIF(Finland!P24,"&gt;0")+COUNTIF(Germany!P24,"&gt;0")+COUNTIF(Lithuania!P24,"&gt;0")+COUNTIF(Netherlands!P24,"&gt;0")+COUNTIF(Norway!P24,"&gt;0")+COUNTIF(Slovenia!P24,"&gt;0")+COUNTIF(Sweden!P24,"&gt;0")+COUNTIF(Switzerland!P24,"&gt;0")+COUNTIF('United Kingdom'!P24,"&gt;0")+COUNTIF(Canada!P24,"&gt;0")+COUNTIF(USA!P24,"&gt;0")</f>
        <v>0</v>
      </c>
      <c r="Q24" s="788">
        <f>COUNTIF(Austria!Q24,"&gt;0")+COUNTIF('Czech Republic'!Q24,"&gt;0")+COUNTIF(France!Q24,"&gt;0")+COUNTIF(Finland!Q24,"&gt;0")+COUNTIF(Germany!Q24,"&gt;0")+COUNTIF(Lithuania!Q24,"&gt;0")+COUNTIF(Netherlands!Q24,"&gt;0")+COUNTIF(Norway!Q24,"&gt;0")+COUNTIF(Slovenia!Q24,"&gt;0")+COUNTIF(Sweden!Q24,"&gt;0")+COUNTIF(Switzerland!Q24,"&gt;0")+COUNTIF('United Kingdom'!Q24,"&gt;0")+COUNTIF(Canada!Q24,"&gt;0")+COUNTIF(USA!Q24,"&gt;0")</f>
        <v>0</v>
      </c>
      <c r="R24" s="788">
        <f>COUNTIF(Austria!R24,"&gt;0")+COUNTIF('Czech Republic'!R24,"&gt;0")+COUNTIF(France!R24,"&gt;0")+COUNTIF(Finland!R24,"&gt;0")+COUNTIF(Germany!R24,"&gt;0")+COUNTIF(Lithuania!R24,"&gt;0")+COUNTIF(Netherlands!R24,"&gt;0")+COUNTIF(Norway!R24,"&gt;0")+COUNTIF(Slovenia!R24,"&gt;0")+COUNTIF(Sweden!R24,"&gt;0")+COUNTIF(Switzerland!R24,"&gt;0")+COUNTIF('United Kingdom'!R24,"&gt;0")+COUNTIF(Canada!R24,"&gt;0")+COUNTIF(USA!R24,"&gt;0")</f>
        <v>0</v>
      </c>
      <c r="S24" s="788">
        <f>COUNTIF(Austria!S24,"&gt;0")+COUNTIF('Czech Republic'!S24,"&gt;0")+COUNTIF(France!S24,"&gt;0")+COUNTIF(Finland!S24,"&gt;0")+COUNTIF(Germany!S24,"&gt;0")+COUNTIF(Lithuania!S24,"&gt;0")+COUNTIF(Netherlands!S24,"&gt;0")+COUNTIF(Norway!S24,"&gt;0")+COUNTIF(Slovenia!S24,"&gt;0")+COUNTIF(Sweden!S24,"&gt;0")+COUNTIF(Switzerland!S24,"&gt;0")+COUNTIF('United Kingdom'!S24,"&gt;0")+COUNTIF(Canada!S24,"&gt;0")+COUNTIF(USA!S24,"&gt;0")</f>
        <v>2</v>
      </c>
      <c r="T24" s="788">
        <f>COUNTIF(Austria!T24,"&gt;0")+COUNTIF('Czech Republic'!T24,"&gt;0")+COUNTIF(France!T24,"&gt;0")+COUNTIF(Finland!T24,"&gt;0")+COUNTIF(Germany!T24,"&gt;0")+COUNTIF(Lithuania!T24,"&gt;0")+COUNTIF(Netherlands!T24,"&gt;0")+COUNTIF(Norway!T24,"&gt;0")+COUNTIF(Slovenia!T24,"&gt;0")+COUNTIF(Sweden!T24,"&gt;0")+COUNTIF(Switzerland!T24,"&gt;0")+COUNTIF('United Kingdom'!T24,"&gt;0")+COUNTIF(Canada!T24,"&gt;0")+COUNTIF(USA!T24,"&gt;0")</f>
        <v>1</v>
      </c>
      <c r="U24" s="788">
        <f>COUNTIF(Austria!U24,"&gt;0")+COUNTIF('Czech Republic'!U24,"&gt;0")+COUNTIF(France!U24,"&gt;0")+COUNTIF(Finland!U24,"&gt;0")+COUNTIF(Germany!U24,"&gt;0")+COUNTIF(Lithuania!U24,"&gt;0")+COUNTIF(Netherlands!U24,"&gt;0")+COUNTIF(Norway!U24,"&gt;0")+COUNTIF(Slovenia!U24,"&gt;0")+COUNTIF(Sweden!U24,"&gt;0")+COUNTIF(Switzerland!U24,"&gt;0")+COUNTIF('United Kingdom'!U24,"&gt;0")+COUNTIF(Canada!U24,"&gt;0")+COUNTIF(USA!U24,"&gt;0")</f>
        <v>1</v>
      </c>
      <c r="V24" s="788">
        <f>COUNTIF(Austria!V24,"&gt;0")+COUNTIF('Czech Republic'!V24,"&gt;0")+COUNTIF(France!V24,"&gt;0")+COUNTIF(Finland!V24,"&gt;0")+COUNTIF(Germany!V24,"&gt;0")+COUNTIF(Lithuania!V24,"&gt;0")+COUNTIF(Netherlands!V24,"&gt;0")+COUNTIF(Norway!V24,"&gt;0")+COUNTIF(Slovenia!V24,"&gt;0")+COUNTIF(Sweden!V24,"&gt;0")+COUNTIF(Switzerland!V24,"&gt;0")+COUNTIF('United Kingdom'!V24,"&gt;0")+COUNTIF(Canada!V24,"&gt;0")+COUNTIF(USA!V24,"&gt;0")</f>
        <v>3</v>
      </c>
      <c r="W24" s="788">
        <f>COUNTIF(Austria!W24,"&gt;0")+COUNTIF('Czech Republic'!W24,"&gt;0")+COUNTIF(France!W24,"&gt;0")+COUNTIF(Finland!W24,"&gt;0")+COUNTIF(Germany!W24,"&gt;0")+COUNTIF(Lithuania!W24,"&gt;0")+COUNTIF(Netherlands!W24,"&gt;0")+COUNTIF(Norway!W24,"&gt;0")+COUNTIF(Slovenia!W24,"&gt;0")+COUNTIF(Sweden!W24,"&gt;0")+COUNTIF(Switzerland!W24,"&gt;0")+COUNTIF('United Kingdom'!W24,"&gt;0")+COUNTIF(Canada!W24,"&gt;0")+COUNTIF(USA!W24,"&gt;0")</f>
        <v>2</v>
      </c>
      <c r="X24" s="788">
        <f>COUNTIF(Austria!X24,"&gt;0")+COUNTIF('Czech Republic'!X24,"&gt;0")+COUNTIF(France!X24,"&gt;0")+COUNTIF(Finland!X24,"&gt;0")+COUNTIF(Germany!X24,"&gt;0")+COUNTIF(Lithuania!X24,"&gt;0")+COUNTIF(Netherlands!X24,"&gt;0")+COUNTIF(Norway!X24,"&gt;0")+COUNTIF(Slovenia!X24,"&gt;0")+COUNTIF(Sweden!X24,"&gt;0")+COUNTIF(Switzerland!X24,"&gt;0")+COUNTIF('United Kingdom'!X24,"&gt;0")+COUNTIF(Canada!X24,"&gt;0")+COUNTIF(USA!X24,"&gt;0")</f>
        <v>1</v>
      </c>
      <c r="Y24" s="788">
        <f>COUNTIF(Austria!Y24,"&gt;0")+COUNTIF('Czech Republic'!Y24,"&gt;0")+COUNTIF(France!Y24,"&gt;0")+COUNTIF(Finland!Y24,"&gt;0")+COUNTIF(Germany!Y24,"&gt;0")+COUNTIF(Lithuania!Y24,"&gt;0")+COUNTIF(Netherlands!Y24,"&gt;0")+COUNTIF(Norway!Y24,"&gt;0")+COUNTIF(Slovenia!Y24,"&gt;0")+COUNTIF(Sweden!Y24,"&gt;0")+COUNTIF(Switzerland!Y24,"&gt;0")+COUNTIF('United Kingdom'!Y24,"&gt;0")+COUNTIF(Canada!Y24,"&gt;0")+COUNTIF(USA!Y24,"&gt;0")</f>
        <v>2</v>
      </c>
      <c r="Z24" s="788">
        <f>COUNTIF(Austria!Z24,"&gt;0")+COUNTIF('Czech Republic'!Z24,"&gt;0")+COUNTIF(France!Z24,"&gt;0")+COUNTIF(Finland!Z24,"&gt;0")+COUNTIF(Germany!Z24,"&gt;0")+COUNTIF(Lithuania!Z24,"&gt;0")+COUNTIF(Netherlands!Z24,"&gt;0")+COUNTIF(Norway!Z24,"&gt;0")+COUNTIF(Slovenia!Z24,"&gt;0")+COUNTIF(Sweden!Z24,"&gt;0")+COUNTIF(Switzerland!Z24,"&gt;0")+COUNTIF('United Kingdom'!Z24,"&gt;0")+COUNTIF(Canada!Z24,"&gt;0")+COUNTIF(USA!Z24,"&gt;0")</f>
        <v>1</v>
      </c>
      <c r="AA24" s="788">
        <f>COUNTIF(Austria!AA24,"&gt;0")+COUNTIF('Czech Republic'!AA24,"&gt;0")+COUNTIF(France!AA24,"&gt;0")+COUNTIF(Finland!AA24,"&gt;0")+COUNTIF(Germany!AA24,"&gt;0")+COUNTIF(Lithuania!AA24,"&gt;0")+COUNTIF(Netherlands!AA24,"&gt;0")+COUNTIF(Norway!AA24,"&gt;0")+COUNTIF(Slovenia!AA24,"&gt;0")+COUNTIF(Sweden!AA24,"&gt;0")+COUNTIF(Switzerland!AA24,"&gt;0")+COUNTIF('United Kingdom'!AA24,"&gt;0")+COUNTIF(Canada!AA24,"&gt;0")+COUNTIF(USA!AA24,"&gt;0")</f>
        <v>2</v>
      </c>
      <c r="AB24" s="788">
        <f>COUNTIF(Austria!AB24,"&gt;0")+COUNTIF('Czech Republic'!AB24,"&gt;0")+COUNTIF(France!AB24,"&gt;0")+COUNTIF(Finland!AB24,"&gt;0")+COUNTIF(Germany!AB24,"&gt;0")+COUNTIF(Lithuania!AB24,"&gt;0")+COUNTIF(Netherlands!AB24,"&gt;0")+COUNTIF(Norway!AB24,"&gt;0")+COUNTIF(Slovenia!AB24,"&gt;0")+COUNTIF(Sweden!AB24,"&gt;0")+COUNTIF(Switzerland!AB24,"&gt;0")+COUNTIF('United Kingdom'!AB24,"&gt;0")+COUNTIF(Canada!AB24,"&gt;0")+COUNTIF(USA!AB24,"&gt;0")</f>
        <v>2</v>
      </c>
      <c r="AC24" s="788">
        <f>COUNTIF(Austria!AC24,"&gt;0")+COUNTIF('Czech Republic'!AC24,"&gt;0")+COUNTIF(France!AC24,"&gt;0")+COUNTIF(Finland!AC24,"&gt;0")+COUNTIF(Germany!AC24,"&gt;0")+COUNTIF(Lithuania!AC24,"&gt;0")+COUNTIF(Netherlands!AC24,"&gt;0")+COUNTIF(Norway!AC24,"&gt;0")+COUNTIF(Slovenia!AC24,"&gt;0")+COUNTIF(Sweden!AC24,"&gt;0")+COUNTIF(Switzerland!AC24,"&gt;0")+COUNTIF('United Kingdom'!AC24,"&gt;0")+COUNTIF(Canada!AC24,"&gt;0")+COUNTIF(USA!AC24,"&gt;0")</f>
        <v>7</v>
      </c>
      <c r="AD24" s="788">
        <f>COUNTIF(Austria!AD24,"&gt;0")+COUNTIF('Czech Republic'!AD24,"&gt;0")+COUNTIF(France!AD24,"&gt;0")+COUNTIF(Finland!AD24,"&gt;0")+COUNTIF(Germany!AD24,"&gt;0")+COUNTIF(Lithuania!AD24,"&gt;0")+COUNTIF(Netherlands!AD24,"&gt;0")+COUNTIF(Norway!AD24,"&gt;0")+COUNTIF(Slovenia!AD24,"&gt;0")+COUNTIF(Sweden!AD24,"&gt;0")+COUNTIF(Switzerland!AD24,"&gt;0")+COUNTIF('United Kingdom'!AD24,"&gt;0")+COUNTIF(Canada!AD24,"&gt;0")+COUNTIF(USA!AD24,"&gt;0")</f>
        <v>1</v>
      </c>
      <c r="AE24" s="788">
        <f>COUNTIF(Austria!AE24,"&gt;0")+COUNTIF('Czech Republic'!AE24,"&gt;0")+COUNTIF(France!AE24,"&gt;0")+COUNTIF(Finland!AE24,"&gt;0")+COUNTIF(Germany!AE24,"&gt;0")+COUNTIF(Lithuania!AE24,"&gt;0")+COUNTIF(Netherlands!AE24,"&gt;0")+COUNTIF(Norway!AE24,"&gt;0")+COUNTIF(Slovenia!AE24,"&gt;0")+COUNTIF(Sweden!AE24,"&gt;0")+COUNTIF(Switzerland!AE24,"&gt;0")+COUNTIF('United Kingdom'!AE24,"&gt;0")+COUNTIF(Canada!AE24,"&gt;0")+COUNTIF(USA!AE24,"&gt;0")</f>
        <v>3</v>
      </c>
      <c r="AF24" s="788">
        <f>COUNTIF(Austria!AF24,"&gt;0")+COUNTIF('Czech Republic'!AF24,"&gt;0")+COUNTIF(France!AF24,"&gt;0")+COUNTIF(Finland!AF24,"&gt;0")+COUNTIF(Germany!AF24,"&gt;0")+COUNTIF(Lithuania!AF24,"&gt;0")+COUNTIF(Netherlands!AF24,"&gt;0")+COUNTIF(Norway!AF24,"&gt;0")+COUNTIF(Slovenia!AF24,"&gt;0")+COUNTIF(Sweden!AF24,"&gt;0")+COUNTIF(Switzerland!AF24,"&gt;0")+COUNTIF('United Kingdom'!AF24,"&gt;0")+COUNTIF(Canada!AF24,"&gt;0")+COUNTIF(USA!AF24,"&gt;0")</f>
        <v>12</v>
      </c>
      <c r="AG24" s="127"/>
      <c r="AH24" s="60" t="s">
        <v>97</v>
      </c>
    </row>
    <row r="25" spans="3:34" ht="28.5" customHeight="1" thickBot="1">
      <c r="C25" s="104" t="s">
        <v>100</v>
      </c>
      <c r="D25" s="5"/>
      <c r="E25" s="1392"/>
      <c r="F25" s="105" t="s">
        <v>101</v>
      </c>
      <c r="G25" s="249" t="s">
        <v>121</v>
      </c>
      <c r="H25" s="788">
        <f>COUNTIF(Austria!H25,"&gt;0")+COUNTIF('Czech Republic'!H25,"&gt;0")+COUNTIF(France!H25,"&gt;0")+COUNTIF(Finland!H25,"&gt;0")+COUNTIF(Germany!H25,"&gt;0")+COUNTIF(Lithuania!H25,"&gt;0")+COUNTIF(Netherlands!H25,"&gt;0")+COUNTIF(Norway!H25,"&gt;0")+COUNTIF(Slovenia!H25,"&gt;0")+COUNTIF(Sweden!H25,"&gt;0")+COUNTIF(Switzerland!H25,"&gt;0")+COUNTIF('United Kingdom'!H25,"&gt;0")+COUNTIF(Canada!H25,"&gt;0")+COUNTIF(USA!H25,"&gt;0")</f>
        <v>0</v>
      </c>
      <c r="I25" s="788">
        <f>COUNTIF(Austria!I25,"&gt;0")+COUNTIF('Czech Republic'!I25,"&gt;0")+COUNTIF(France!I25,"&gt;0")+COUNTIF(Finland!I25,"&gt;0")+COUNTIF(Germany!I25,"&gt;0")+COUNTIF(Lithuania!I25,"&gt;0")+COUNTIF(Netherlands!I25,"&gt;0")+COUNTIF(Norway!I25,"&gt;0")+COUNTIF(Slovenia!I25,"&gt;0")+COUNTIF(Sweden!I25,"&gt;0")+COUNTIF(Switzerland!I25,"&gt;0")+COUNTIF('United Kingdom'!I25,"&gt;0")+COUNTIF(Canada!I25,"&gt;0")+COUNTIF(USA!I25,"&gt;0")</f>
        <v>0</v>
      </c>
      <c r="J25" s="788">
        <f>COUNTIF(Austria!J25,"&gt;0")+COUNTIF('Czech Republic'!J25,"&gt;0")+COUNTIF(France!J25,"&gt;0")+COUNTIF(Finland!J25,"&gt;0")+COUNTIF(Germany!J25,"&gt;0")+COUNTIF(Lithuania!J25,"&gt;0")+COUNTIF(Netherlands!J25,"&gt;0")+COUNTIF(Norway!J25,"&gt;0")+COUNTIF(Slovenia!J25,"&gt;0")+COUNTIF(Sweden!J25,"&gt;0")+COUNTIF(Switzerland!J25,"&gt;0")+COUNTIF('United Kingdom'!J25,"&gt;0")+COUNTIF(Canada!J25,"&gt;0")+COUNTIF(USA!J25,"&gt;0")</f>
        <v>0</v>
      </c>
      <c r="K25" s="788">
        <f>COUNTIF(Austria!K25,"&gt;0")+COUNTIF('Czech Republic'!K25,"&gt;0")+COUNTIF(France!K25,"&gt;0")+COUNTIF(Finland!K25,"&gt;0")+COUNTIF(Germany!K25,"&gt;0")+COUNTIF(Lithuania!K25,"&gt;0")+COUNTIF(Netherlands!K25,"&gt;0")+COUNTIF(Norway!K25,"&gt;0")+COUNTIF(Slovenia!K25,"&gt;0")+COUNTIF(Sweden!K25,"&gt;0")+COUNTIF(Switzerland!K25,"&gt;0")+COUNTIF('United Kingdom'!K25,"&gt;0")+COUNTIF(Canada!K25,"&gt;0")+COUNTIF(USA!K25,"&gt;0")</f>
        <v>0</v>
      </c>
      <c r="L25" s="788">
        <f>COUNTIF(Austria!L25,"&gt;0")+COUNTIF('Czech Republic'!L25,"&gt;0")+COUNTIF(France!L25,"&gt;0")+COUNTIF(Finland!L25,"&gt;0")+COUNTIF(Germany!L25,"&gt;0")+COUNTIF(Lithuania!L25,"&gt;0")+COUNTIF(Netherlands!L25,"&gt;0")+COUNTIF(Norway!L25,"&gt;0")+COUNTIF(Slovenia!L25,"&gt;0")+COUNTIF(Sweden!L25,"&gt;0")+COUNTIF(Switzerland!L25,"&gt;0")+COUNTIF('United Kingdom'!L25,"&gt;0")+COUNTIF(Canada!L25,"&gt;0")+COUNTIF(USA!L25,"&gt;0")</f>
        <v>0</v>
      </c>
      <c r="M25" s="788">
        <f>COUNTIF(Austria!M25,"&gt;0")+COUNTIF('Czech Republic'!M25,"&gt;0")+COUNTIF(France!M25,"&gt;0")+COUNTIF(Finland!M25,"&gt;0")+COUNTIF(Germany!M25,"&gt;0")+COUNTIF(Lithuania!M25,"&gt;0")+COUNTIF(Netherlands!M25,"&gt;0")+COUNTIF(Norway!M25,"&gt;0")+COUNTIF(Slovenia!M25,"&gt;0")+COUNTIF(Sweden!M25,"&gt;0")+COUNTIF(Switzerland!M25,"&gt;0")+COUNTIF('United Kingdom'!M25,"&gt;0")+COUNTIF(Canada!M25,"&gt;0")+COUNTIF(USA!M25,"&gt;0")</f>
        <v>0</v>
      </c>
      <c r="N25" s="788">
        <f>COUNTIF(Austria!N25,"&gt;0")+COUNTIF('Czech Republic'!N25,"&gt;0")+COUNTIF(France!N25,"&gt;0")+COUNTIF(Finland!N25,"&gt;0")+COUNTIF(Germany!N25,"&gt;0")+COUNTIF(Lithuania!N25,"&gt;0")+COUNTIF(Netherlands!N25,"&gt;0")+COUNTIF(Norway!N25,"&gt;0")+COUNTIF(Slovenia!N25,"&gt;0")+COUNTIF(Sweden!N25,"&gt;0")+COUNTIF(Switzerland!N25,"&gt;0")+COUNTIF('United Kingdom'!N25,"&gt;0")+COUNTIF(Canada!N25,"&gt;0")+COUNTIF(USA!N25,"&gt;0")</f>
        <v>0</v>
      </c>
      <c r="O25" s="788">
        <f>COUNTIF(Austria!O25,"&gt;0")+COUNTIF('Czech Republic'!O25,"&gt;0")+COUNTIF(France!O25,"&gt;0")+COUNTIF(Finland!O25,"&gt;0")+COUNTIF(Germany!O25,"&gt;0")+COUNTIF(Lithuania!O25,"&gt;0")+COUNTIF(Netherlands!O25,"&gt;0")+COUNTIF(Norway!O25,"&gt;0")+COUNTIF(Slovenia!O25,"&gt;0")+COUNTIF(Sweden!O25,"&gt;0")+COUNTIF(Switzerland!O25,"&gt;0")+COUNTIF('United Kingdom'!O25,"&gt;0")+COUNTIF(Canada!O25,"&gt;0")+COUNTIF(USA!O25,"&gt;0")</f>
        <v>0</v>
      </c>
      <c r="P25" s="788">
        <f>COUNTIF(Austria!P25,"&gt;0")+COUNTIF('Czech Republic'!P25,"&gt;0")+COUNTIF(France!P25,"&gt;0")+COUNTIF(Finland!P25,"&gt;0")+COUNTIF(Germany!P25,"&gt;0")+COUNTIF(Lithuania!P25,"&gt;0")+COUNTIF(Netherlands!P25,"&gt;0")+COUNTIF(Norway!P25,"&gt;0")+COUNTIF(Slovenia!P25,"&gt;0")+COUNTIF(Sweden!P25,"&gt;0")+COUNTIF(Switzerland!P25,"&gt;0")+COUNTIF('United Kingdom'!P25,"&gt;0")+COUNTIF(Canada!P25,"&gt;0")+COUNTIF(USA!P25,"&gt;0")</f>
        <v>0</v>
      </c>
      <c r="Q25" s="788">
        <f>COUNTIF(Austria!Q25,"&gt;0")+COUNTIF('Czech Republic'!Q25,"&gt;0")+COUNTIF(France!Q25,"&gt;0")+COUNTIF(Finland!Q25,"&gt;0")+COUNTIF(Germany!Q25,"&gt;0")+COUNTIF(Lithuania!Q25,"&gt;0")+COUNTIF(Netherlands!Q25,"&gt;0")+COUNTIF(Norway!Q25,"&gt;0")+COUNTIF(Slovenia!Q25,"&gt;0")+COUNTIF(Sweden!Q25,"&gt;0")+COUNTIF(Switzerland!Q25,"&gt;0")+COUNTIF('United Kingdom'!Q25,"&gt;0")+COUNTIF(Canada!Q25,"&gt;0")+COUNTIF(USA!Q25,"&gt;0")</f>
        <v>0</v>
      </c>
      <c r="R25" s="788">
        <f>COUNTIF(Austria!R25,"&gt;0")+COUNTIF('Czech Republic'!R25,"&gt;0")+COUNTIF(France!R25,"&gt;0")+COUNTIF(Finland!R25,"&gt;0")+COUNTIF(Germany!R25,"&gt;0")+COUNTIF(Lithuania!R25,"&gt;0")+COUNTIF(Netherlands!R25,"&gt;0")+COUNTIF(Norway!R25,"&gt;0")+COUNTIF(Slovenia!R25,"&gt;0")+COUNTIF(Sweden!R25,"&gt;0")+COUNTIF(Switzerland!R25,"&gt;0")+COUNTIF('United Kingdom'!R25,"&gt;0")+COUNTIF(Canada!R25,"&gt;0")+COUNTIF(USA!R25,"&gt;0")</f>
        <v>0</v>
      </c>
      <c r="S25" s="788">
        <f>COUNTIF(Austria!S25,"&gt;0")+COUNTIF('Czech Republic'!S25,"&gt;0")+COUNTIF(France!S25,"&gt;0")+COUNTIF(Finland!S25,"&gt;0")+COUNTIF(Germany!S25,"&gt;0")+COUNTIF(Lithuania!S25,"&gt;0")+COUNTIF(Netherlands!S25,"&gt;0")+COUNTIF(Norway!S25,"&gt;0")+COUNTIF(Slovenia!S25,"&gt;0")+COUNTIF(Sweden!S25,"&gt;0")+COUNTIF(Switzerland!S25,"&gt;0")+COUNTIF('United Kingdom'!S25,"&gt;0")+COUNTIF(Canada!S25,"&gt;0")+COUNTIF(USA!S25,"&gt;0")</f>
        <v>0</v>
      </c>
      <c r="T25" s="788">
        <f>COUNTIF(Austria!T25,"&gt;0")+COUNTIF('Czech Republic'!T25,"&gt;0")+COUNTIF(France!T25,"&gt;0")+COUNTIF(Finland!T25,"&gt;0")+COUNTIF(Germany!T25,"&gt;0")+COUNTIF(Lithuania!T25,"&gt;0")+COUNTIF(Netherlands!T25,"&gt;0")+COUNTIF(Norway!T25,"&gt;0")+COUNTIF(Slovenia!T25,"&gt;0")+COUNTIF(Sweden!T25,"&gt;0")+COUNTIF(Switzerland!T25,"&gt;0")+COUNTIF('United Kingdom'!T25,"&gt;0")+COUNTIF(Canada!T25,"&gt;0")+COUNTIF(USA!T25,"&gt;0")</f>
        <v>0</v>
      </c>
      <c r="U25" s="788">
        <f>COUNTIF(Austria!U25,"&gt;0")+COUNTIF('Czech Republic'!U25,"&gt;0")+COUNTIF(France!U25,"&gt;0")+COUNTIF(Finland!U25,"&gt;0")+COUNTIF(Germany!U25,"&gt;0")+COUNTIF(Lithuania!U25,"&gt;0")+COUNTIF(Netherlands!U25,"&gt;0")+COUNTIF(Norway!U25,"&gt;0")+COUNTIF(Slovenia!U25,"&gt;0")+COUNTIF(Sweden!U25,"&gt;0")+COUNTIF(Switzerland!U25,"&gt;0")+COUNTIF('United Kingdom'!U25,"&gt;0")+COUNTIF(Canada!U25,"&gt;0")+COUNTIF(USA!U25,"&gt;0")</f>
        <v>1</v>
      </c>
      <c r="V25" s="788">
        <f>COUNTIF(Austria!V25,"&gt;0")+COUNTIF('Czech Republic'!V25,"&gt;0")+COUNTIF(France!V25,"&gt;0")+COUNTIF(Finland!V25,"&gt;0")+COUNTIF(Germany!V25,"&gt;0")+COUNTIF(Lithuania!V25,"&gt;0")+COUNTIF(Netherlands!V25,"&gt;0")+COUNTIF(Norway!V25,"&gt;0")+COUNTIF(Slovenia!V25,"&gt;0")+COUNTIF(Sweden!V25,"&gt;0")+COUNTIF(Switzerland!V25,"&gt;0")+COUNTIF('United Kingdom'!V25,"&gt;0")+COUNTIF(Canada!V25,"&gt;0")+COUNTIF(USA!V25,"&gt;0")</f>
        <v>5</v>
      </c>
      <c r="W25" s="788">
        <f>COUNTIF(Austria!W25,"&gt;0")+COUNTIF('Czech Republic'!W25,"&gt;0")+COUNTIF(France!W25,"&gt;0")+COUNTIF(Finland!W25,"&gt;0")+COUNTIF(Germany!W25,"&gt;0")+COUNTIF(Lithuania!W25,"&gt;0")+COUNTIF(Netherlands!W25,"&gt;0")+COUNTIF(Norway!W25,"&gt;0")+COUNTIF(Slovenia!W25,"&gt;0")+COUNTIF(Sweden!W25,"&gt;0")+COUNTIF(Switzerland!W25,"&gt;0")+COUNTIF('United Kingdom'!W25,"&gt;0")+COUNTIF(Canada!W25,"&gt;0")+COUNTIF(USA!W25,"&gt;0")</f>
        <v>3</v>
      </c>
      <c r="X25" s="788">
        <f>COUNTIF(Austria!X25,"&gt;0")+COUNTIF('Czech Republic'!X25,"&gt;0")+COUNTIF(France!X25,"&gt;0")+COUNTIF(Finland!X25,"&gt;0")+COUNTIF(Germany!X25,"&gt;0")+COUNTIF(Lithuania!X25,"&gt;0")+COUNTIF(Netherlands!X25,"&gt;0")+COUNTIF(Norway!X25,"&gt;0")+COUNTIF(Slovenia!X25,"&gt;0")+COUNTIF(Sweden!X25,"&gt;0")+COUNTIF(Switzerland!X25,"&gt;0")+COUNTIF('United Kingdom'!X25,"&gt;0")+COUNTIF(Canada!X25,"&gt;0")+COUNTIF(USA!X25,"&gt;0")</f>
        <v>6</v>
      </c>
      <c r="Y25" s="788">
        <f>COUNTIF(Austria!Y25,"&gt;0")+COUNTIF('Czech Republic'!Y25,"&gt;0")+COUNTIF(France!Y25,"&gt;0")+COUNTIF(Finland!Y25,"&gt;0")+COUNTIF(Germany!Y25,"&gt;0")+COUNTIF(Lithuania!Y25,"&gt;0")+COUNTIF(Netherlands!Y25,"&gt;0")+COUNTIF(Norway!Y25,"&gt;0")+COUNTIF(Slovenia!Y25,"&gt;0")+COUNTIF(Sweden!Y25,"&gt;0")+COUNTIF(Switzerland!Y25,"&gt;0")+COUNTIF('United Kingdom'!Y25,"&gt;0")+COUNTIF(Canada!Y25,"&gt;0")+COUNTIF(USA!Y25,"&gt;0")</f>
        <v>6</v>
      </c>
      <c r="Z25" s="788">
        <f>COUNTIF(Austria!Z25,"&gt;0")+COUNTIF('Czech Republic'!Z25,"&gt;0")+COUNTIF(France!Z25,"&gt;0")+COUNTIF(Finland!Z25,"&gt;0")+COUNTIF(Germany!Z25,"&gt;0")+COUNTIF(Lithuania!Z25,"&gt;0")+COUNTIF(Netherlands!Z25,"&gt;0")+COUNTIF(Norway!Z25,"&gt;0")+COUNTIF(Slovenia!Z25,"&gt;0")+COUNTIF(Sweden!Z25,"&gt;0")+COUNTIF(Switzerland!Z25,"&gt;0")+COUNTIF('United Kingdom'!Z25,"&gt;0")+COUNTIF(Canada!Z25,"&gt;0")+COUNTIF(USA!Z25,"&gt;0")</f>
        <v>4</v>
      </c>
      <c r="AA25" s="788">
        <f>COUNTIF(Austria!AA25,"&gt;0")+COUNTIF('Czech Republic'!AA25,"&gt;0")+COUNTIF(France!AA25,"&gt;0")+COUNTIF(Finland!AA25,"&gt;0")+COUNTIF(Germany!AA25,"&gt;0")+COUNTIF(Lithuania!AA25,"&gt;0")+COUNTIF(Netherlands!AA25,"&gt;0")+COUNTIF(Norway!AA25,"&gt;0")+COUNTIF(Slovenia!AA25,"&gt;0")+COUNTIF(Sweden!AA25,"&gt;0")+COUNTIF(Switzerland!AA25,"&gt;0")+COUNTIF('United Kingdom'!AA25,"&gt;0")+COUNTIF(Canada!AA25,"&gt;0")+COUNTIF(USA!AA25,"&gt;0")</f>
        <v>3</v>
      </c>
      <c r="AB25" s="788">
        <f>COUNTIF(Austria!AB25,"&gt;0")+COUNTIF('Czech Republic'!AB25,"&gt;0")+COUNTIF(France!AB25,"&gt;0")+COUNTIF(Finland!AB25,"&gt;0")+COUNTIF(Germany!AB25,"&gt;0")+COUNTIF(Lithuania!AB25,"&gt;0")+COUNTIF(Netherlands!AB25,"&gt;0")+COUNTIF(Norway!AB25,"&gt;0")+COUNTIF(Slovenia!AB25,"&gt;0")+COUNTIF(Sweden!AB25,"&gt;0")+COUNTIF(Switzerland!AB25,"&gt;0")+COUNTIF('United Kingdom'!AB25,"&gt;0")+COUNTIF(Canada!AB25,"&gt;0")+COUNTIF(USA!AB25,"&gt;0")</f>
        <v>10</v>
      </c>
      <c r="AC25" s="788">
        <f>COUNTIF(Austria!AC25,"&gt;0")+COUNTIF('Czech Republic'!AC25,"&gt;0")+COUNTIF(France!AC25,"&gt;0")+COUNTIF(Finland!AC25,"&gt;0")+COUNTIF(Germany!AC25,"&gt;0")+COUNTIF(Lithuania!AC25,"&gt;0")+COUNTIF(Netherlands!AC25,"&gt;0")+COUNTIF(Norway!AC25,"&gt;0")+COUNTIF(Slovenia!AC25,"&gt;0")+COUNTIF(Sweden!AC25,"&gt;0")+COUNTIF(Switzerland!AC25,"&gt;0")+COUNTIF('United Kingdom'!AC25,"&gt;0")+COUNTIF(Canada!AC25,"&gt;0")+COUNTIF(USA!AC25,"&gt;0")</f>
        <v>0</v>
      </c>
      <c r="AD25" s="788">
        <f>COUNTIF(Austria!AD25,"&gt;0")+COUNTIF('Czech Republic'!AD25,"&gt;0")+COUNTIF(France!AD25,"&gt;0")+COUNTIF(Finland!AD25,"&gt;0")+COUNTIF(Germany!AD25,"&gt;0")+COUNTIF(Lithuania!AD25,"&gt;0")+COUNTIF(Netherlands!AD25,"&gt;0")+COUNTIF(Norway!AD25,"&gt;0")+COUNTIF(Slovenia!AD25,"&gt;0")+COUNTIF(Sweden!AD25,"&gt;0")+COUNTIF(Switzerland!AD25,"&gt;0")+COUNTIF('United Kingdom'!AD25,"&gt;0")+COUNTIF(Canada!AD25,"&gt;0")+COUNTIF(USA!AD25,"&gt;0")</f>
        <v>0</v>
      </c>
      <c r="AE25" s="788">
        <f>COUNTIF(Austria!AE25,"&gt;0")+COUNTIF('Czech Republic'!AE25,"&gt;0")+COUNTIF(France!AE25,"&gt;0")+COUNTIF(Finland!AE25,"&gt;0")+COUNTIF(Germany!AE25,"&gt;0")+COUNTIF(Lithuania!AE25,"&gt;0")+COUNTIF(Netherlands!AE25,"&gt;0")+COUNTIF(Norway!AE25,"&gt;0")+COUNTIF(Slovenia!AE25,"&gt;0")+COUNTIF(Sweden!AE25,"&gt;0")+COUNTIF(Switzerland!AE25,"&gt;0")+COUNTIF('United Kingdom'!AE25,"&gt;0")+COUNTIF(Canada!AE25,"&gt;0")+COUNTIF(USA!AE25,"&gt;0")</f>
        <v>0</v>
      </c>
      <c r="AF25" s="788">
        <f>COUNTIF(Austria!AF25,"&gt;0")+COUNTIF('Czech Republic'!AF25,"&gt;0")+COUNTIF(France!AF25,"&gt;0")+COUNTIF(Finland!AF25,"&gt;0")+COUNTIF(Germany!AF25,"&gt;0")+COUNTIF(Lithuania!AF25,"&gt;0")+COUNTIF(Netherlands!AF25,"&gt;0")+COUNTIF(Norway!AF25,"&gt;0")+COUNTIF(Slovenia!AF25,"&gt;0")+COUNTIF(Sweden!AF25,"&gt;0")+COUNTIF(Switzerland!AF25,"&gt;0")+COUNTIF('United Kingdom'!AF25,"&gt;0")+COUNTIF(Canada!AF25,"&gt;0")+COUNTIF(USA!AF25,"&gt;0")</f>
        <v>0</v>
      </c>
      <c r="AG25" s="127"/>
      <c r="AH25" s="104" t="s">
        <v>100</v>
      </c>
    </row>
    <row r="26" spans="3:34" s="108" customFormat="1" ht="28.5" customHeight="1" thickBot="1">
      <c r="C26" s="104" t="s">
        <v>103</v>
      </c>
      <c r="D26" s="109"/>
      <c r="E26" s="110"/>
      <c r="F26" s="111"/>
      <c r="G26" s="112"/>
      <c r="H26" s="207"/>
      <c r="I26" s="207"/>
      <c r="J26" s="207"/>
      <c r="K26" s="207"/>
      <c r="L26" s="241"/>
      <c r="M26" s="241"/>
      <c r="N26" s="241"/>
      <c r="O26" s="241"/>
      <c r="P26" s="241"/>
      <c r="Q26" s="242"/>
      <c r="R26" s="243"/>
      <c r="S26" s="208"/>
      <c r="T26" s="208"/>
      <c r="U26" s="208"/>
      <c r="V26" s="209"/>
      <c r="W26" s="208"/>
      <c r="X26" s="244"/>
      <c r="Y26" s="122"/>
      <c r="Z26" s="245"/>
      <c r="AA26" s="246"/>
      <c r="AB26" s="247"/>
      <c r="AC26" s="245"/>
      <c r="AD26" s="248"/>
      <c r="AE26" s="246"/>
      <c r="AF26" s="247"/>
      <c r="AG26" s="127"/>
      <c r="AH26" s="104" t="s">
        <v>103</v>
      </c>
    </row>
    <row r="27" spans="3:34"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787" t="e">
        <f>VLOOKUP(AC2,'JFSQ p70'!6:58,11,FALSE)*1000</f>
        <v>#N/A</v>
      </c>
      <c r="AC27" s="134"/>
      <c r="AD27" s="5"/>
      <c r="AE27" s="5"/>
      <c r="AF27" s="135"/>
      <c r="AG27" s="31"/>
      <c r="AH27" s="136"/>
    </row>
    <row r="28" spans="3:34"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row>
    <row r="29" spans="3:34"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row>
    <row r="30" spans="3:34"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row>
    <row r="31" spans="3:35"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row>
    <row r="32" spans="3:35"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row>
    <row r="33" spans="3:35"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56.16</v>
      </c>
      <c r="Y33" s="142" t="s">
        <v>112</v>
      </c>
      <c r="Z33" s="154" t="s">
        <v>113</v>
      </c>
      <c r="AA33" s="144"/>
      <c r="AB33" s="144"/>
      <c r="AC33" s="144"/>
      <c r="AD33" s="144"/>
      <c r="AE33" s="144"/>
      <c r="AF33" s="144"/>
      <c r="AG33" s="144"/>
      <c r="AH33" s="145"/>
      <c r="AI33" s="155"/>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34" s="59" customFormat="1" ht="12" customHeight="1">
      <c r="C37" s="156"/>
      <c r="F37" s="162"/>
      <c r="H37" s="158"/>
      <c r="I37" s="158"/>
      <c r="J37" s="158"/>
      <c r="K37" s="161"/>
      <c r="L37" s="163"/>
      <c r="M37" s="163"/>
      <c r="N37" s="163"/>
      <c r="W37" s="164"/>
      <c r="X37" s="164">
        <f>X33/42000</f>
        <v>0.001337142857142857</v>
      </c>
      <c r="Y37" s="152"/>
      <c r="Z37" s="152"/>
      <c r="AA37" s="152"/>
      <c r="AB37" s="152"/>
      <c r="AC37" s="152"/>
      <c r="AG37" s="152"/>
      <c r="AH37" s="152"/>
    </row>
    <row r="38" spans="3:29" s="59" customFormat="1" ht="18.75">
      <c r="C38" s="156"/>
      <c r="F38" s="162"/>
      <c r="H38" s="158"/>
      <c r="I38" s="158"/>
      <c r="J38" s="158"/>
      <c r="K38" s="161"/>
      <c r="L38" s="163"/>
      <c r="M38" s="163"/>
      <c r="N38" s="163"/>
      <c r="W38" s="164"/>
      <c r="X38" s="164"/>
      <c r="Y38" s="152"/>
      <c r="Z38" s="152"/>
      <c r="AA38" s="152"/>
      <c r="AB38" s="152"/>
      <c r="AC38" s="152"/>
    </row>
    <row r="39" spans="8:34" ht="18.75">
      <c r="H39" s="158"/>
      <c r="I39" s="158"/>
      <c r="J39" s="158"/>
      <c r="K39" s="161"/>
      <c r="Y39" s="58"/>
      <c r="Z39" s="59"/>
      <c r="AA39" s="59"/>
      <c r="AB39" s="59"/>
      <c r="AC39" s="59"/>
      <c r="AG39" s="59"/>
      <c r="AH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37">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I3"/>
    <mergeCell ref="AC4:AG4"/>
    <mergeCell ref="O11:O12"/>
    <mergeCell ref="Z11:AB11"/>
    <mergeCell ref="L8:AF8"/>
    <mergeCell ref="AF11:AF12"/>
    <mergeCell ref="E13:E25"/>
    <mergeCell ref="J9:J12"/>
    <mergeCell ref="K9:K12"/>
    <mergeCell ref="I9:I12"/>
    <mergeCell ref="N11:N12"/>
    <mergeCell ref="L9:R10"/>
    <mergeCell ref="P11:R11"/>
    <mergeCell ref="S9:AD9"/>
    <mergeCell ref="S10:Y10"/>
    <mergeCell ref="AE11:AE12"/>
    <mergeCell ref="AC11:AC12"/>
    <mergeCell ref="S11:V11"/>
    <mergeCell ref="W11:Y11"/>
  </mergeCells>
  <conditionalFormatting sqref="E13:G25 AG13:AH25">
    <cfRule type="cellIs" priority="1" dxfId="0" operator="equal" stopIfTrue="1">
      <formula>0</formula>
    </cfRule>
    <cfRule type="cellIs" priority="2" dxfId="1" operator="greaterThan" stopIfTrue="1">
      <formula>10</formula>
    </cfRule>
  </conditionalFormatting>
  <conditionalFormatting sqref="H13:AF25">
    <cfRule type="cellIs" priority="3" dxfId="2" operator="equal" stopIfTrue="1">
      <formula>0</formula>
    </cfRule>
    <cfRule type="cellIs" priority="4" dxfId="1" operator="greaterThan" stopIfTrue="1">
      <formula>10</formula>
    </cfRule>
  </conditionalFormatting>
  <printOptions/>
  <pageMargins left="0.5" right="0.1968503937007874" top="0.38" bottom="0.1968503937007874" header="0.37" footer="0.1968503937007874"/>
  <pageSetup fitToHeight="1" fitToWidth="1" horizontalDpi="600" verticalDpi="600" orientation="landscape" paperSize="9" scale="50" r:id="rId2"/>
  <drawing r:id="rId1"/>
</worksheet>
</file>

<file path=xl/worksheets/sheet11.xml><?xml version="1.0" encoding="utf-8"?>
<worksheet xmlns="http://schemas.openxmlformats.org/spreadsheetml/2006/main" xmlns:r="http://schemas.openxmlformats.org/officeDocument/2006/relationships">
  <dimension ref="A6:AP98"/>
  <sheetViews>
    <sheetView workbookViewId="0" topLeftCell="A1">
      <selection activeCell="L35" sqref="L35"/>
    </sheetView>
  </sheetViews>
  <sheetFormatPr defaultColWidth="9.140625" defaultRowHeight="12.75"/>
  <cols>
    <col min="1" max="7" width="11.421875" style="0" customWidth="1"/>
    <col min="8" max="8" width="15.00390625" style="0" customWidth="1"/>
    <col min="9" max="13" width="11.421875" style="0" customWidth="1"/>
    <col min="14" max="14" width="11.421875" style="565" customWidth="1"/>
    <col min="15" max="17" width="12.7109375" style="565" bestFit="1" customWidth="1"/>
    <col min="18" max="18" width="15.8515625" style="565" customWidth="1"/>
    <col min="19" max="19" width="14.140625" style="565" customWidth="1"/>
    <col min="20" max="20" width="14.00390625" style="565" customWidth="1"/>
    <col min="21" max="39" width="11.421875" style="565" customWidth="1"/>
    <col min="40" max="40" width="14.7109375" style="565" bestFit="1" customWidth="1"/>
    <col min="41" max="16384" width="11.421875" style="565" customWidth="1"/>
  </cols>
  <sheetData>
    <row r="1" ht="12.75"/>
    <row r="2" ht="12.75"/>
    <row r="3" ht="12.75"/>
    <row r="4" ht="12.75"/>
    <row r="5" ht="12.75"/>
    <row r="6" spans="3:14" ht="16.5" thickBot="1">
      <c r="C6" t="s">
        <v>434</v>
      </c>
      <c r="D6" t="s">
        <v>436</v>
      </c>
      <c r="E6" t="s">
        <v>436</v>
      </c>
      <c r="F6" s="1053" t="s">
        <v>437</v>
      </c>
      <c r="I6" s="555" t="s">
        <v>434</v>
      </c>
      <c r="J6" s="555" t="s">
        <v>435</v>
      </c>
      <c r="K6" s="555" t="s">
        <v>436</v>
      </c>
      <c r="N6" t="s">
        <v>387</v>
      </c>
    </row>
    <row r="7" spans="1:20" ht="15.75">
      <c r="A7" s="1456" t="s">
        <v>384</v>
      </c>
      <c r="B7" t="s">
        <v>240</v>
      </c>
      <c r="C7" s="250">
        <f ca="1">IF((INDIRECT(CONCATENATE("'",$B7,"'","!AL14")))="n.a.",0,(INDIRECT(CONCATENATE("'",$B7,"'","!AL14"))))</f>
        <v>5675</v>
      </c>
      <c r="D7" s="250">
        <f ca="1">IF((INDIRECT(CONCATENATE("'",$B7,"'","!AM14")))="n.a.",0,(INDIRECT(CONCATENATE("'",$B7,"'","!AM14"))))</f>
        <v>160470</v>
      </c>
      <c r="E7" s="250">
        <f ca="1">IF((INDIRECT(CONCATENATE("'",$B7,"'","!AN14")))="n.a.",0,(INDIRECT(CONCATENATE("'",$B7,"'","!AN14"))))</f>
        <v>6763178</v>
      </c>
      <c r="F7" s="250">
        <f>SUM(C7:E7)</f>
        <v>6929323</v>
      </c>
      <c r="G7" s="250"/>
      <c r="H7" t="s">
        <v>240</v>
      </c>
      <c r="I7" s="250">
        <f aca="true" t="shared" si="0" ref="I7:I18">C7+C19+C31</f>
        <v>2050547.462830482</v>
      </c>
      <c r="J7" s="250">
        <f aca="true" t="shared" si="1" ref="J7:J18">D7+D19+D31</f>
        <v>3854684.6</v>
      </c>
      <c r="K7" s="250">
        <f aca="true" t="shared" si="2" ref="K7:K18">E7+E19+E31</f>
        <v>8537735</v>
      </c>
      <c r="M7" s="250"/>
      <c r="N7" s="631" t="s">
        <v>73</v>
      </c>
      <c r="O7" s="632">
        <f>SUM(C7:C18)</f>
        <v>5382525.230769068</v>
      </c>
      <c r="P7" s="632">
        <f>SUM(D7:D18)</f>
        <v>1051924.0174175734</v>
      </c>
      <c r="Q7" s="633">
        <f>SUM(E7:E18)</f>
        <v>76096938.77067126</v>
      </c>
      <c r="R7" s="634">
        <f>SUM(O7:Q7)</f>
        <v>82531388.01885791</v>
      </c>
      <c r="S7" s="635">
        <f>R7/$R$12</f>
        <v>0.44681159077209703</v>
      </c>
      <c r="T7" s="57"/>
    </row>
    <row r="8" spans="1:20" ht="15.75">
      <c r="A8" s="1456"/>
      <c r="B8" t="s">
        <v>238</v>
      </c>
      <c r="C8" s="250">
        <f aca="true" ca="1" t="shared" si="3" ref="C8:C18">IF((INDIRECT(CONCATENATE("'",$B8,"'","!AL14")))="n.a.",0,(INDIRECT(CONCATENATE("'",$B8,"'","!AL14"))))</f>
        <v>0</v>
      </c>
      <c r="D8" s="250">
        <f aca="true" ca="1" t="shared" si="4" ref="D8:D18">IF((INDIRECT(CONCATENATE("'",$B8,"'","!AM14")))="n.a.",0,(INDIRECT(CONCATENATE("'",$B8,"'","!AM14"))))</f>
        <v>76000</v>
      </c>
      <c r="E8" s="250">
        <f aca="true" ca="1" t="shared" si="5" ref="E8:E18">IF((INDIRECT(CONCATENATE("'",$B8,"'","!AN14")))="n.a.",0,(INDIRECT(CONCATENATE("'",$B8,"'","!AN14"))))</f>
        <v>4960000</v>
      </c>
      <c r="F8" s="250">
        <f aca="true" t="shared" si="6" ref="F8:F42">SUM(C8:E8)</f>
        <v>5036000</v>
      </c>
      <c r="G8" s="250"/>
      <c r="H8" t="s">
        <v>238</v>
      </c>
      <c r="I8" s="250">
        <f t="shared" si="0"/>
        <v>537879.9129082425</v>
      </c>
      <c r="J8" s="250">
        <f t="shared" si="1"/>
        <v>2270120.0870917575</v>
      </c>
      <c r="K8" s="250">
        <f t="shared" si="2"/>
        <v>5131000</v>
      </c>
      <c r="L8" s="250"/>
      <c r="N8" s="636" t="s">
        <v>76</v>
      </c>
      <c r="O8" s="68">
        <f>SUM(C19:C30)</f>
        <v>29485882.737154454</v>
      </c>
      <c r="P8" s="68">
        <f>SUM(D19:D30)</f>
        <v>52192437.86762191</v>
      </c>
      <c r="Q8" s="69">
        <f>SUM(E19:E30)</f>
        <v>8903106.46</v>
      </c>
      <c r="R8" s="66">
        <f>SUM(O8:Q8)</f>
        <v>90581427.06477636</v>
      </c>
      <c r="S8" s="637">
        <f>R8/$R$12</f>
        <v>0.4903932006083748</v>
      </c>
      <c r="T8" s="57"/>
    </row>
    <row r="9" spans="1:38" ht="16.5" thickBot="1">
      <c r="A9" s="1456"/>
      <c r="B9" t="s">
        <v>122</v>
      </c>
      <c r="C9" s="250">
        <f ca="1">IF((INDIRECT(CONCATENATE("'",$B9,"'","!AL14")))="n.a.",0,(INDIRECT(CONCATENATE("'",$B9,"'","!AL14"))))</f>
        <v>1579150.230769068</v>
      </c>
      <c r="D9" s="250">
        <f ca="1">IF((INDIRECT(CONCATENATE("'",$B9,"'","!AM14")))="n.a.",0,(INDIRECT(CONCATENATE("'",$B9,"'","!AM14"))))</f>
        <v>570354.0174175733</v>
      </c>
      <c r="E9" s="250">
        <f ca="1">IF((INDIRECT(CONCATENATE("'",$B9,"'","!AN14")))="n.a.",0,(INDIRECT(CONCATENATE("'",$B9,"'","!AN14"))))</f>
        <v>4653025.086576027</v>
      </c>
      <c r="F9" s="250">
        <f t="shared" si="6"/>
        <v>6802529.334762668</v>
      </c>
      <c r="G9" s="250"/>
      <c r="H9" t="s">
        <v>242</v>
      </c>
      <c r="I9" s="250">
        <f t="shared" si="0"/>
        <v>8593778.062315945</v>
      </c>
      <c r="J9" s="250">
        <f t="shared" si="1"/>
        <v>18595560.036982283</v>
      </c>
      <c r="K9" s="250">
        <f t="shared" si="2"/>
        <v>5723764.546576027</v>
      </c>
      <c r="L9" s="250"/>
      <c r="N9" s="638" t="s">
        <v>79</v>
      </c>
      <c r="O9" s="70">
        <f>SUM(C31:C42)</f>
        <v>8959540.609166918</v>
      </c>
      <c r="P9" s="70">
        <f>SUM(D31:D42)</f>
        <v>27419.490045440776</v>
      </c>
      <c r="Q9" s="71">
        <f>SUM(E31:E42)</f>
        <v>2612058</v>
      </c>
      <c r="R9" s="72">
        <f>SUM(O9:Q9)</f>
        <v>11599018.09921236</v>
      </c>
      <c r="S9" s="637">
        <f>R9/$R$12</f>
        <v>0.06279520861952828</v>
      </c>
      <c r="T9" s="73"/>
      <c r="AL9" s="250">
        <f>'Overview User'!AC17</f>
        <v>270806359</v>
      </c>
    </row>
    <row r="10" spans="1:20" ht="44.25" thickBot="1" thickTop="1">
      <c r="A10" s="1456"/>
      <c r="B10" t="s">
        <v>242</v>
      </c>
      <c r="C10" s="250">
        <f ca="1" t="shared" si="3"/>
        <v>182000</v>
      </c>
      <c r="D10" s="250">
        <f ca="1" t="shared" si="4"/>
        <v>0</v>
      </c>
      <c r="E10" s="250">
        <f ca="1" t="shared" si="5"/>
        <v>34604619.71830986</v>
      </c>
      <c r="F10" s="250">
        <f t="shared" si="6"/>
        <v>34786619.71830986</v>
      </c>
      <c r="G10" s="250"/>
      <c r="H10" t="s">
        <v>122</v>
      </c>
      <c r="I10" s="250">
        <f t="shared" si="0"/>
        <v>513500</v>
      </c>
      <c r="J10" s="250">
        <f t="shared" si="1"/>
        <v>3825000</v>
      </c>
      <c r="K10" s="250">
        <f t="shared" si="2"/>
        <v>36926619.71830986</v>
      </c>
      <c r="L10" s="250"/>
      <c r="N10" s="639" t="s">
        <v>354</v>
      </c>
      <c r="O10" s="74">
        <f>SUM(O7:O9)</f>
        <v>43827948.57709044</v>
      </c>
      <c r="P10" s="75">
        <f>SUM(P7:P9)</f>
        <v>53271781.37508493</v>
      </c>
      <c r="Q10" s="75">
        <f>SUM(Q7:Q9)</f>
        <v>87612103.23067126</v>
      </c>
      <c r="R10" s="1443"/>
      <c r="S10" s="1453"/>
      <c r="T10" s="76">
        <f>SUM(O10:Q10)</f>
        <v>184711833.18284664</v>
      </c>
    </row>
    <row r="11" spans="1:38" ht="17.25" thickBot="1" thickTop="1">
      <c r="A11" s="1456"/>
      <c r="B11" t="s">
        <v>239</v>
      </c>
      <c r="C11" s="250">
        <f ca="1" t="shared" si="3"/>
        <v>2320999.9999999995</v>
      </c>
      <c r="D11" s="250">
        <f ca="1" t="shared" si="4"/>
        <v>0</v>
      </c>
      <c r="E11" s="250">
        <f ca="1" t="shared" si="5"/>
        <v>10702000</v>
      </c>
      <c r="F11" s="250">
        <f t="shared" si="6"/>
        <v>13023000</v>
      </c>
      <c r="G11" s="250"/>
      <c r="H11" t="s">
        <v>239</v>
      </c>
      <c r="I11" s="250">
        <f t="shared" si="0"/>
        <v>15363600</v>
      </c>
      <c r="J11" s="250">
        <f t="shared" si="1"/>
        <v>1696000</v>
      </c>
      <c r="K11" s="250">
        <f t="shared" si="2"/>
        <v>13211000</v>
      </c>
      <c r="L11" s="250"/>
      <c r="N11" s="640" t="s">
        <v>70</v>
      </c>
      <c r="O11" s="641">
        <f>O10/$R12</f>
        <v>0.2372774273411334</v>
      </c>
      <c r="P11" s="641">
        <f>P10/$R12</f>
        <v>0.28840481119772704</v>
      </c>
      <c r="Q11" s="641">
        <f>Q10/$R12</f>
        <v>0.47431776146113963</v>
      </c>
      <c r="R11" s="1454"/>
      <c r="S11" s="1455"/>
      <c r="T11" s="57"/>
      <c r="AL11">
        <f>AL21/AL9</f>
        <v>0.6820808560955788</v>
      </c>
    </row>
    <row r="12" spans="1:20" ht="16.5" thickBot="1">
      <c r="A12" s="1456"/>
      <c r="B12" t="s">
        <v>280</v>
      </c>
      <c r="C12" s="250">
        <f ca="1" t="shared" si="3"/>
        <v>123700</v>
      </c>
      <c r="D12" s="250">
        <f ca="1" t="shared" si="4"/>
        <v>10500</v>
      </c>
      <c r="E12" s="250">
        <f ca="1" t="shared" si="5"/>
        <v>1350000</v>
      </c>
      <c r="F12" s="250">
        <f t="shared" si="6"/>
        <v>1484200</v>
      </c>
      <c r="G12" s="250"/>
      <c r="H12" t="s">
        <v>280</v>
      </c>
      <c r="I12" s="250">
        <f t="shared" si="0"/>
        <v>774800</v>
      </c>
      <c r="J12" s="250">
        <f t="shared" si="1"/>
        <v>421560</v>
      </c>
      <c r="K12" s="250">
        <f t="shared" si="2"/>
        <v>2012280</v>
      </c>
      <c r="L12" s="250"/>
      <c r="N12" s="1447"/>
      <c r="O12" s="1447"/>
      <c r="P12" s="1447"/>
      <c r="Q12" s="1448"/>
      <c r="R12" s="79">
        <f>SUM(R7:R9)</f>
        <v>184711833.1828466</v>
      </c>
      <c r="S12" s="1449"/>
      <c r="T12" s="1447"/>
    </row>
    <row r="13" spans="1:12" ht="13.5" thickTop="1">
      <c r="A13" s="1456"/>
      <c r="B13" t="s">
        <v>284</v>
      </c>
      <c r="C13" s="250">
        <f ca="1" t="shared" si="3"/>
        <v>197500</v>
      </c>
      <c r="D13" s="250">
        <f ca="1" t="shared" si="4"/>
        <v>0</v>
      </c>
      <c r="E13" s="250">
        <f ca="1" t="shared" si="5"/>
        <v>115000</v>
      </c>
      <c r="F13" s="250">
        <f t="shared" si="6"/>
        <v>312500</v>
      </c>
      <c r="G13" s="250"/>
      <c r="H13" t="s">
        <v>284</v>
      </c>
      <c r="I13" s="250">
        <f t="shared" si="0"/>
        <v>1400000</v>
      </c>
      <c r="J13" s="250">
        <f t="shared" si="1"/>
        <v>150000</v>
      </c>
      <c r="K13" s="250">
        <f t="shared" si="2"/>
        <v>412000</v>
      </c>
      <c r="L13" s="250"/>
    </row>
    <row r="14" spans="1:42" ht="12.75">
      <c r="A14" s="1456"/>
      <c r="B14" t="s">
        <v>127</v>
      </c>
      <c r="C14" s="250">
        <f ca="1" t="shared" si="3"/>
        <v>0</v>
      </c>
      <c r="D14" s="250">
        <f ca="1" t="shared" si="4"/>
        <v>0</v>
      </c>
      <c r="E14" s="250">
        <f ca="1" t="shared" si="5"/>
        <v>3128000</v>
      </c>
      <c r="F14" s="250">
        <f t="shared" si="6"/>
        <v>3128000</v>
      </c>
      <c r="G14" s="250"/>
      <c r="H14" t="s">
        <v>127</v>
      </c>
      <c r="I14" s="250">
        <f t="shared" si="0"/>
        <v>595097.1732503888</v>
      </c>
      <c r="J14" s="250">
        <f t="shared" si="1"/>
        <v>2010702.8267496112</v>
      </c>
      <c r="K14" s="250">
        <f t="shared" si="2"/>
        <v>3167000</v>
      </c>
      <c r="L14" s="250"/>
      <c r="AK14" t="str">
        <f aca="true" t="shared" si="7" ref="AK14:AN18">N7</f>
        <v>S1 Direct</v>
      </c>
      <c r="AL14">
        <f t="shared" si="7"/>
        <v>5382525.230769068</v>
      </c>
      <c r="AM14">
        <f t="shared" si="7"/>
        <v>1051924.0174175734</v>
      </c>
      <c r="AN14">
        <f t="shared" si="7"/>
        <v>76096938.77067126</v>
      </c>
      <c r="AO14">
        <f aca="true" t="shared" si="8" ref="AO14:AP18">R7</f>
        <v>82531388.01885791</v>
      </c>
      <c r="AP14">
        <f t="shared" si="8"/>
        <v>0.44681159077209703</v>
      </c>
    </row>
    <row r="15" spans="1:42" ht="12.75">
      <c r="A15" s="1456"/>
      <c r="B15" t="s">
        <v>281</v>
      </c>
      <c r="C15" s="250">
        <f ca="1" t="shared" si="3"/>
        <v>0</v>
      </c>
      <c r="D15" s="250">
        <f ca="1" t="shared" si="4"/>
        <v>0</v>
      </c>
      <c r="E15" s="250">
        <f ca="1" t="shared" si="5"/>
        <v>1591162</v>
      </c>
      <c r="F15" s="250">
        <f t="shared" si="6"/>
        <v>1591162</v>
      </c>
      <c r="G15" s="250"/>
      <c r="H15" t="s">
        <v>281</v>
      </c>
      <c r="I15" s="250">
        <f t="shared" si="0"/>
        <v>27792</v>
      </c>
      <c r="J15" s="250">
        <f t="shared" si="1"/>
        <v>531063</v>
      </c>
      <c r="K15" s="250">
        <f t="shared" si="2"/>
        <v>1654746</v>
      </c>
      <c r="L15" s="250"/>
      <c r="AK15" t="str">
        <f t="shared" si="7"/>
        <v>S2 Indirect</v>
      </c>
      <c r="AL15">
        <f t="shared" si="7"/>
        <v>29485882.737154454</v>
      </c>
      <c r="AM15">
        <f t="shared" si="7"/>
        <v>52192437.86762191</v>
      </c>
      <c r="AN15">
        <f t="shared" si="7"/>
        <v>8903106.46</v>
      </c>
      <c r="AO15">
        <f t="shared" si="8"/>
        <v>90581427.06477636</v>
      </c>
      <c r="AP15">
        <f t="shared" si="8"/>
        <v>0.4903932006083748</v>
      </c>
    </row>
    <row r="16" spans="1:42" ht="12.75">
      <c r="A16" s="1456"/>
      <c r="B16" t="s">
        <v>1</v>
      </c>
      <c r="C16" s="250">
        <f ca="1" t="shared" si="3"/>
        <v>0</v>
      </c>
      <c r="D16" s="250">
        <f ca="1" t="shared" si="4"/>
        <v>0</v>
      </c>
      <c r="E16" s="250">
        <f ca="1" t="shared" si="5"/>
        <v>6923153.96578538</v>
      </c>
      <c r="F16" s="250">
        <f t="shared" si="6"/>
        <v>6923153.96578538</v>
      </c>
      <c r="G16" s="250"/>
      <c r="H16" t="s">
        <v>1</v>
      </c>
      <c r="I16" s="250">
        <f t="shared" si="0"/>
        <v>10995453.96578538</v>
      </c>
      <c r="J16" s="250">
        <f t="shared" si="1"/>
        <v>19458490.824261274</v>
      </c>
      <c r="K16" s="250">
        <f t="shared" si="2"/>
        <v>8923153.96578538</v>
      </c>
      <c r="L16" s="250"/>
      <c r="AK16" t="str">
        <f t="shared" si="7"/>
        <v>S3 Recovered</v>
      </c>
      <c r="AL16">
        <f t="shared" si="7"/>
        <v>8959540.609166918</v>
      </c>
      <c r="AM16">
        <f t="shared" si="7"/>
        <v>27419.490045440776</v>
      </c>
      <c r="AN16">
        <f t="shared" si="7"/>
        <v>2612058</v>
      </c>
      <c r="AO16">
        <f t="shared" si="8"/>
        <v>11599018.09921236</v>
      </c>
      <c r="AP16">
        <f t="shared" si="8"/>
        <v>0.06279520861952828</v>
      </c>
    </row>
    <row r="17" spans="1:42" ht="12.75">
      <c r="A17" s="1456"/>
      <c r="B17" t="s">
        <v>271</v>
      </c>
      <c r="C17" s="250">
        <f ca="1" t="shared" si="3"/>
        <v>716000</v>
      </c>
      <c r="D17" s="250">
        <f ca="1" t="shared" si="4"/>
        <v>0</v>
      </c>
      <c r="E17" s="250">
        <f ca="1" t="shared" si="5"/>
        <v>1218800</v>
      </c>
      <c r="F17" s="250">
        <f t="shared" si="6"/>
        <v>1934800</v>
      </c>
      <c r="G17" s="250"/>
      <c r="H17" t="s">
        <v>271</v>
      </c>
      <c r="I17" s="250">
        <f t="shared" si="0"/>
        <v>2268000</v>
      </c>
      <c r="J17" s="250">
        <f t="shared" si="1"/>
        <v>224000</v>
      </c>
      <c r="K17" s="250">
        <f t="shared" si="2"/>
        <v>1292804</v>
      </c>
      <c r="L17" s="250"/>
      <c r="AK17" t="str">
        <f t="shared" si="7"/>
        <v>Sum (S1+S2+S3)</v>
      </c>
      <c r="AL17">
        <f t="shared" si="7"/>
        <v>43827948.57709044</v>
      </c>
      <c r="AM17">
        <f t="shared" si="7"/>
        <v>53271781.37508493</v>
      </c>
      <c r="AN17">
        <f t="shared" si="7"/>
        <v>87612103.23067126</v>
      </c>
      <c r="AO17">
        <f t="shared" si="8"/>
        <v>0</v>
      </c>
      <c r="AP17">
        <f t="shared" si="8"/>
        <v>0</v>
      </c>
    </row>
    <row r="18" spans="1:42" ht="13.5" thickBot="1">
      <c r="A18" s="1456"/>
      <c r="B18" t="s">
        <v>199</v>
      </c>
      <c r="C18" s="250">
        <f ca="1" t="shared" si="3"/>
        <v>257500</v>
      </c>
      <c r="D18" s="250">
        <f ca="1" t="shared" si="4"/>
        <v>234600</v>
      </c>
      <c r="E18" s="250">
        <f ca="1" t="shared" si="5"/>
        <v>88000</v>
      </c>
      <c r="F18" s="250">
        <f t="shared" si="6"/>
        <v>580100</v>
      </c>
      <c r="G18" s="250"/>
      <c r="H18" t="s">
        <v>199</v>
      </c>
      <c r="I18" s="250">
        <f t="shared" si="0"/>
        <v>707500</v>
      </c>
      <c r="J18" s="250">
        <f t="shared" si="1"/>
        <v>234600</v>
      </c>
      <c r="K18" s="250">
        <f t="shared" si="2"/>
        <v>620000</v>
      </c>
      <c r="L18" s="250"/>
      <c r="AK18" t="str">
        <f t="shared" si="7"/>
        <v>%</v>
      </c>
      <c r="AL18">
        <f t="shared" si="7"/>
        <v>0.2372774273411334</v>
      </c>
      <c r="AM18">
        <f t="shared" si="7"/>
        <v>0.28840481119772704</v>
      </c>
      <c r="AN18">
        <f t="shared" si="7"/>
        <v>0.47431776146113963</v>
      </c>
      <c r="AO18">
        <f t="shared" si="8"/>
        <v>0</v>
      </c>
      <c r="AP18">
        <f t="shared" si="8"/>
        <v>0</v>
      </c>
    </row>
    <row r="19" spans="1:40" ht="15" thickBot="1">
      <c r="A19" s="1456" t="s">
        <v>385</v>
      </c>
      <c r="B19" t="s">
        <v>240</v>
      </c>
      <c r="C19" s="250">
        <f ca="1">IF((INDIRECT(CONCATENATE("'",$B19,"'","!AL15")))="n.a.",0,(INDIRECT(CONCATENATE("'",$B19,"'","!AL15"))))</f>
        <v>1556622.462830482</v>
      </c>
      <c r="D19" s="250">
        <f ca="1">IF((INDIRECT(CONCATENATE("'",$B19,"'","!AM15")))="n.a.",0,(INDIRECT(CONCATENATE("'",$B19,"'","!AM15"))))</f>
        <v>3694214.6</v>
      </c>
      <c r="E19" s="250">
        <f ca="1">IF((INDIRECT(CONCATENATE("'",$B19,"'","!AN15")))="n.a.",0,(INDIRECT(CONCATENATE("'",$B19,"'","!AN15"))))</f>
        <v>1774557</v>
      </c>
      <c r="F19" s="250">
        <f t="shared" si="6"/>
        <v>7025394.062830482</v>
      </c>
      <c r="G19" s="250"/>
      <c r="H19" s="250"/>
      <c r="I19" s="250"/>
      <c r="J19" s="250"/>
      <c r="K19" s="250"/>
      <c r="L19" s="250"/>
      <c r="N19" s="1252"/>
      <c r="O19" s="1323" t="s">
        <v>73</v>
      </c>
      <c r="P19" s="1451"/>
      <c r="Q19" s="1319" t="s">
        <v>76</v>
      </c>
      <c r="R19" s="1451"/>
      <c r="S19" s="1319" t="s">
        <v>79</v>
      </c>
      <c r="T19" s="1452"/>
      <c r="AK19">
        <f>N12</f>
        <v>0</v>
      </c>
      <c r="AL19">
        <f>O12</f>
        <v>0</v>
      </c>
      <c r="AM19">
        <f>P12</f>
        <v>0</v>
      </c>
      <c r="AN19">
        <f>Q12</f>
        <v>0</v>
      </c>
    </row>
    <row r="20" spans="1:20" ht="15" thickBot="1">
      <c r="A20" s="1456"/>
      <c r="B20" t="s">
        <v>238</v>
      </c>
      <c r="C20" s="250">
        <f aca="true" ca="1" t="shared" si="9" ref="C20:C30">IF((INDIRECT(CONCATENATE("'",$B20,"'","!AL15")))="n.a.",0,(INDIRECT(CONCATENATE("'",$B20,"'","!AL15"))))</f>
        <v>537879.9129082425</v>
      </c>
      <c r="D20" s="250">
        <f aca="true" ca="1" t="shared" si="10" ref="D20:D30">IF((INDIRECT(CONCATENATE("'",$B20,"'","!AM15")))="n.a.",0,(INDIRECT(CONCATENATE("'",$B20,"'","!AM15"))))</f>
        <v>2194120.0870917575</v>
      </c>
      <c r="E20" s="250">
        <f aca="true" ca="1" t="shared" si="11" ref="E20:E30">IF((INDIRECT(CONCATENATE("'",$B20,"'","!AN15")))="n.a.",0,(INDIRECT(CONCATENATE("'",$B20,"'","!AN15"))))</f>
        <v>171000</v>
      </c>
      <c r="F20" s="250">
        <f t="shared" si="6"/>
        <v>2903000</v>
      </c>
      <c r="G20" s="250"/>
      <c r="H20" s="250"/>
      <c r="I20" s="250"/>
      <c r="J20" s="250"/>
      <c r="K20" s="250"/>
      <c r="L20" s="250"/>
      <c r="N20" s="1253"/>
      <c r="O20" s="444" t="s">
        <v>286</v>
      </c>
      <c r="P20" s="445" t="s">
        <v>70</v>
      </c>
      <c r="Q20" s="436" t="s">
        <v>286</v>
      </c>
      <c r="R20" s="445" t="s">
        <v>70</v>
      </c>
      <c r="S20" s="436" t="s">
        <v>286</v>
      </c>
      <c r="T20" s="446" t="s">
        <v>70</v>
      </c>
    </row>
    <row r="21" spans="1:38" ht="15.75" thickBot="1">
      <c r="A21" s="1456"/>
      <c r="B21" t="s">
        <v>122</v>
      </c>
      <c r="C21" s="250">
        <f ca="1" t="shared" si="9"/>
        <v>6739037.222379958</v>
      </c>
      <c r="D21" s="250">
        <f ca="1" t="shared" si="10"/>
        <v>17997786.52951927</v>
      </c>
      <c r="E21" s="250">
        <f ca="1" t="shared" si="11"/>
        <v>1070739.46</v>
      </c>
      <c r="F21" s="250">
        <f t="shared" si="6"/>
        <v>25807563.21189923</v>
      </c>
      <c r="G21" s="630"/>
      <c r="H21" s="250"/>
      <c r="I21" s="250"/>
      <c r="J21" s="250"/>
      <c r="K21" s="250"/>
      <c r="L21" s="250"/>
      <c r="N21" s="569" t="s">
        <v>240</v>
      </c>
      <c r="O21" s="605">
        <f>(C7+D7+E7)/1000</f>
        <v>6929.323</v>
      </c>
      <c r="P21" s="1054">
        <f>O21/(O21+Q21+S21)</f>
        <v>0.4797714326880156</v>
      </c>
      <c r="Q21" s="605">
        <f>(C19+D19+E19)/1000</f>
        <v>7025.394062830482</v>
      </c>
      <c r="R21" s="1054">
        <f>Q21/(O21+Q21+S21)</f>
        <v>0.4864231866117453</v>
      </c>
      <c r="S21" s="605">
        <f>(C31+D31+E31)/1000</f>
        <v>488.25</v>
      </c>
      <c r="T21" s="1055">
        <f>S21/(O21+Q21+S21)</f>
        <v>0.0338053807002392</v>
      </c>
      <c r="AL21">
        <f>SUM(AL17:AN17)</f>
        <v>184711833.18284664</v>
      </c>
    </row>
    <row r="22" spans="1:40" ht="15.75" thickBot="1">
      <c r="A22" s="1456"/>
      <c r="B22" t="s">
        <v>242</v>
      </c>
      <c r="C22" s="250">
        <f ca="1">IF((INDIRECT(CONCATENATE("'",$B22,"'","!AL15")))="n.a.",0,(INDIRECT(CONCATENATE("'",$B22,"'","!AL15"))))</f>
        <v>331500</v>
      </c>
      <c r="D22" s="250">
        <f ca="1">IF((INDIRECT(CONCATENATE("'",$B22,"'","!AM15")))="n.a.",0,(INDIRECT(CONCATENATE("'",$B22,"'","!AM15"))))</f>
        <v>3825000</v>
      </c>
      <c r="E22" s="250">
        <f ca="1">IF((INDIRECT(CONCATENATE("'",$B22,"'","!AN15")))="n.a.",0,(INDIRECT(CONCATENATE("'",$B22,"'","!AN15"))))</f>
        <v>822000</v>
      </c>
      <c r="F22" s="250">
        <f t="shared" si="6"/>
        <v>4978500</v>
      </c>
      <c r="G22" s="250"/>
      <c r="H22" s="250"/>
      <c r="I22" s="250"/>
      <c r="J22" s="250"/>
      <c r="K22" s="250"/>
      <c r="L22" s="250"/>
      <c r="N22" s="571" t="s">
        <v>238</v>
      </c>
      <c r="O22" s="605">
        <f aca="true" t="shared" si="12" ref="O22:O32">(C8+D8+E8)/1000</f>
        <v>5036</v>
      </c>
      <c r="P22" s="1054">
        <f aca="true" t="shared" si="13" ref="P22:P34">O22/(O22+Q22+S22)</f>
        <v>0.634336818239073</v>
      </c>
      <c r="Q22" s="605">
        <f aca="true" t="shared" si="14" ref="Q22:Q32">(C20+D20+E20)/1000</f>
        <v>2903</v>
      </c>
      <c r="R22" s="1054">
        <f aca="true" t="shared" si="15" ref="R22:R34">Q22/(O22+Q22+S22)</f>
        <v>0.36566318176092705</v>
      </c>
      <c r="S22" s="605">
        <f aca="true" t="shared" si="16" ref="S22:S32">(C32+D32+E32)/1000</f>
        <v>0</v>
      </c>
      <c r="T22" s="1055">
        <f aca="true" t="shared" si="17" ref="T22:T34">S22/(O22+Q22+S22)</f>
        <v>0</v>
      </c>
      <c r="AN22" s="250">
        <f>'Overview User'!AE17</f>
        <v>378383451.1846435</v>
      </c>
    </row>
    <row r="23" spans="1:20" ht="15.75" thickBot="1">
      <c r="A23" s="1456"/>
      <c r="B23" t="s">
        <v>239</v>
      </c>
      <c r="C23" s="250">
        <f ca="1" t="shared" si="9"/>
        <v>7036600</v>
      </c>
      <c r="D23" s="250">
        <f ca="1" t="shared" si="10"/>
        <v>1696000</v>
      </c>
      <c r="E23" s="250">
        <f ca="1" t="shared" si="11"/>
        <v>1498000.0000000002</v>
      </c>
      <c r="F23" s="250">
        <f t="shared" si="6"/>
        <v>10230600</v>
      </c>
      <c r="G23" s="250"/>
      <c r="H23" s="250"/>
      <c r="I23" s="250"/>
      <c r="J23" s="250"/>
      <c r="K23" s="250"/>
      <c r="L23" s="250"/>
      <c r="N23" s="571" t="s">
        <v>122</v>
      </c>
      <c r="O23" s="605">
        <f t="shared" si="12"/>
        <v>6802.529334762668</v>
      </c>
      <c r="P23" s="1054">
        <f t="shared" si="13"/>
        <v>0.20668149727340832</v>
      </c>
      <c r="Q23" s="605">
        <f t="shared" si="14"/>
        <v>25807.56321189923</v>
      </c>
      <c r="R23" s="1054">
        <f t="shared" si="15"/>
        <v>0.7841121358133119</v>
      </c>
      <c r="S23" s="605">
        <f t="shared" si="16"/>
        <v>303.01009921235993</v>
      </c>
      <c r="T23" s="1055">
        <f t="shared" si="17"/>
        <v>0.009206366913279841</v>
      </c>
    </row>
    <row r="24" spans="1:20" ht="15.75" thickBot="1">
      <c r="A24" s="1456"/>
      <c r="B24" t="s">
        <v>280</v>
      </c>
      <c r="C24" s="250">
        <f ca="1" t="shared" si="9"/>
        <v>651100</v>
      </c>
      <c r="D24" s="250">
        <f ca="1" t="shared" si="10"/>
        <v>411060</v>
      </c>
      <c r="E24" s="250">
        <f ca="1" t="shared" si="11"/>
        <v>662280</v>
      </c>
      <c r="F24" s="250">
        <f t="shared" si="6"/>
        <v>1724440</v>
      </c>
      <c r="G24" s="250"/>
      <c r="H24" s="250"/>
      <c r="I24" s="250"/>
      <c r="J24" s="250"/>
      <c r="K24" s="250"/>
      <c r="L24" s="250"/>
      <c r="N24" s="571" t="s">
        <v>242</v>
      </c>
      <c r="O24" s="605">
        <f t="shared" si="12"/>
        <v>34786.619718309856</v>
      </c>
      <c r="P24" s="1054">
        <f>O24/(O24+Q24+S24)</f>
        <v>0.8430030000100689</v>
      </c>
      <c r="Q24" s="605">
        <f t="shared" si="14"/>
        <v>4978.5</v>
      </c>
      <c r="R24" s="1054">
        <f t="shared" si="15"/>
        <v>0.12064668741990772</v>
      </c>
      <c r="S24" s="605">
        <f t="shared" si="16"/>
        <v>1500</v>
      </c>
      <c r="T24" s="1055">
        <f t="shared" si="17"/>
        <v>0.03635031257002342</v>
      </c>
    </row>
    <row r="25" spans="1:40" ht="15.75" thickBot="1">
      <c r="A25" s="1456"/>
      <c r="B25" t="s">
        <v>284</v>
      </c>
      <c r="C25" s="250">
        <f ca="1" t="shared" si="9"/>
        <v>1015000</v>
      </c>
      <c r="D25" s="250">
        <f ca="1" t="shared" si="10"/>
        <v>150000</v>
      </c>
      <c r="E25" s="250">
        <f ca="1" t="shared" si="11"/>
        <v>222000</v>
      </c>
      <c r="F25" s="250">
        <f t="shared" si="6"/>
        <v>1387000</v>
      </c>
      <c r="G25" s="250"/>
      <c r="H25" s="250"/>
      <c r="I25" s="250"/>
      <c r="J25" s="250"/>
      <c r="K25" s="250"/>
      <c r="L25" s="250"/>
      <c r="N25" s="571" t="s">
        <v>239</v>
      </c>
      <c r="O25" s="605">
        <f t="shared" si="12"/>
        <v>13023</v>
      </c>
      <c r="P25" s="1054">
        <f t="shared" si="13"/>
        <v>0.43021942082416603</v>
      </c>
      <c r="Q25" s="605">
        <f t="shared" si="14"/>
        <v>10230.6</v>
      </c>
      <c r="R25" s="1054">
        <f t="shared" si="15"/>
        <v>0.3379714970961924</v>
      </c>
      <c r="S25" s="605">
        <f t="shared" si="16"/>
        <v>7016.999999999999</v>
      </c>
      <c r="T25" s="1055">
        <f t="shared" si="17"/>
        <v>0.23180908207964163</v>
      </c>
      <c r="AN25" s="250">
        <f>'Overview User'!AF17</f>
        <v>45793880.81516454</v>
      </c>
    </row>
    <row r="26" spans="1:20" ht="15.75" thickBot="1">
      <c r="A26" s="1456"/>
      <c r="B26" t="s">
        <v>127</v>
      </c>
      <c r="C26" s="250">
        <f ca="1" t="shared" si="9"/>
        <v>336797.1732503888</v>
      </c>
      <c r="D26" s="250">
        <f ca="1" t="shared" si="10"/>
        <v>2010702.8267496112</v>
      </c>
      <c r="E26" s="250">
        <f ca="1" t="shared" si="11"/>
        <v>39000</v>
      </c>
      <c r="F26" s="250">
        <f t="shared" si="6"/>
        <v>2386500</v>
      </c>
      <c r="G26" s="250"/>
      <c r="H26" s="250"/>
      <c r="I26" s="250"/>
      <c r="J26" s="250"/>
      <c r="K26" s="250"/>
      <c r="L26" s="250"/>
      <c r="N26" s="571" t="s">
        <v>280</v>
      </c>
      <c r="O26" s="605">
        <f t="shared" si="12"/>
        <v>1484.2</v>
      </c>
      <c r="P26" s="1054">
        <f t="shared" si="13"/>
        <v>0.46256357833848605</v>
      </c>
      <c r="Q26" s="605">
        <f t="shared" si="14"/>
        <v>1724.44</v>
      </c>
      <c r="R26" s="1054">
        <f t="shared" si="15"/>
        <v>0.5374364216615138</v>
      </c>
      <c r="S26" s="605">
        <f t="shared" si="16"/>
        <v>0</v>
      </c>
      <c r="T26" s="1055">
        <f t="shared" si="17"/>
        <v>0</v>
      </c>
    </row>
    <row r="27" spans="1:20" ht="15.75" thickBot="1">
      <c r="A27" s="1456"/>
      <c r="B27" t="s">
        <v>281</v>
      </c>
      <c r="C27" s="250">
        <f ca="1" t="shared" si="9"/>
        <v>27792</v>
      </c>
      <c r="D27" s="250">
        <f ca="1" t="shared" si="10"/>
        <v>531063</v>
      </c>
      <c r="E27" s="250">
        <f ca="1" t="shared" si="11"/>
        <v>37526</v>
      </c>
      <c r="F27" s="250">
        <f t="shared" si="6"/>
        <v>596381</v>
      </c>
      <c r="G27" s="250"/>
      <c r="H27" s="250"/>
      <c r="I27" s="250"/>
      <c r="J27" s="250"/>
      <c r="K27" s="250"/>
      <c r="L27" s="250"/>
      <c r="N27" s="571" t="s">
        <v>284</v>
      </c>
      <c r="O27" s="605">
        <f t="shared" si="12"/>
        <v>312.5</v>
      </c>
      <c r="P27" s="1054">
        <f t="shared" si="13"/>
        <v>0.15927624872579002</v>
      </c>
      <c r="Q27" s="605">
        <f t="shared" si="14"/>
        <v>1387</v>
      </c>
      <c r="R27" s="1054">
        <f t="shared" si="15"/>
        <v>0.7069317023445464</v>
      </c>
      <c r="S27" s="605">
        <f t="shared" si="16"/>
        <v>262.5</v>
      </c>
      <c r="T27" s="1055">
        <f t="shared" si="17"/>
        <v>0.13379204892966362</v>
      </c>
    </row>
    <row r="28" spans="1:20" ht="15.75" thickBot="1">
      <c r="A28" s="1456"/>
      <c r="B28" t="s">
        <v>1</v>
      </c>
      <c r="C28" s="250">
        <f ca="1" t="shared" si="9"/>
        <v>10301553.96578538</v>
      </c>
      <c r="D28" s="250">
        <f ca="1" t="shared" si="10"/>
        <v>19458490.824261274</v>
      </c>
      <c r="E28" s="250">
        <f ca="1" t="shared" si="11"/>
        <v>2000000</v>
      </c>
      <c r="F28" s="250">
        <f t="shared" si="6"/>
        <v>31760044.790046655</v>
      </c>
      <c r="G28" s="250"/>
      <c r="H28" s="250"/>
      <c r="I28" s="250"/>
      <c r="J28" s="250"/>
      <c r="K28" s="250"/>
      <c r="L28" s="250"/>
      <c r="N28" s="571" t="s">
        <v>127</v>
      </c>
      <c r="O28" s="605">
        <f t="shared" si="12"/>
        <v>3128</v>
      </c>
      <c r="P28" s="1054">
        <f t="shared" si="13"/>
        <v>0.5418514412416852</v>
      </c>
      <c r="Q28" s="605">
        <f t="shared" si="14"/>
        <v>2386.5</v>
      </c>
      <c r="R28" s="1054">
        <f t="shared" si="15"/>
        <v>0.41340424057649666</v>
      </c>
      <c r="S28" s="605">
        <f t="shared" si="16"/>
        <v>258.3</v>
      </c>
      <c r="T28" s="1055">
        <f t="shared" si="17"/>
        <v>0.044744318181818184</v>
      </c>
    </row>
    <row r="29" spans="1:20" ht="15.75" thickBot="1">
      <c r="A29" s="1456"/>
      <c r="B29" t="s">
        <v>271</v>
      </c>
      <c r="C29" s="250">
        <f ca="1" t="shared" si="9"/>
        <v>952000</v>
      </c>
      <c r="D29" s="250">
        <f ca="1" t="shared" si="10"/>
        <v>224000</v>
      </c>
      <c r="E29" s="250">
        <f ca="1" t="shared" si="11"/>
        <v>74004</v>
      </c>
      <c r="F29" s="250">
        <f t="shared" si="6"/>
        <v>1250004</v>
      </c>
      <c r="G29" s="250"/>
      <c r="H29" s="250"/>
      <c r="I29" s="250"/>
      <c r="J29" s="250"/>
      <c r="K29" s="250"/>
      <c r="L29" s="250"/>
      <c r="N29" s="571" t="s">
        <v>281</v>
      </c>
      <c r="O29" s="605">
        <f t="shared" si="12"/>
        <v>1591.162</v>
      </c>
      <c r="P29" s="1054">
        <f t="shared" si="13"/>
        <v>0.7188115654085808</v>
      </c>
      <c r="Q29" s="605">
        <f t="shared" si="14"/>
        <v>596.381</v>
      </c>
      <c r="R29" s="1054">
        <f t="shared" si="15"/>
        <v>0.269416665424347</v>
      </c>
      <c r="S29" s="605">
        <f t="shared" si="16"/>
        <v>26.058</v>
      </c>
      <c r="T29" s="1055">
        <f t="shared" si="17"/>
        <v>0.011771769167072114</v>
      </c>
    </row>
    <row r="30" spans="1:20" ht="15.75" thickBot="1">
      <c r="A30" s="1456"/>
      <c r="B30" t="s">
        <v>199</v>
      </c>
      <c r="C30" s="250">
        <f ca="1" t="shared" si="9"/>
        <v>0</v>
      </c>
      <c r="D30" s="250">
        <f ca="1" t="shared" si="10"/>
        <v>0</v>
      </c>
      <c r="E30" s="250">
        <f ca="1" t="shared" si="11"/>
        <v>532000</v>
      </c>
      <c r="F30" s="250">
        <f t="shared" si="6"/>
        <v>532000</v>
      </c>
      <c r="G30" s="250"/>
      <c r="H30" s="250"/>
      <c r="I30" s="250"/>
      <c r="J30" s="250"/>
      <c r="K30" s="250"/>
      <c r="L30" s="250"/>
      <c r="N30" s="571" t="s">
        <v>1</v>
      </c>
      <c r="O30" s="605">
        <f t="shared" si="12"/>
        <v>6923.15396578538</v>
      </c>
      <c r="P30" s="1054">
        <f t="shared" si="13"/>
        <v>0.17581676112590724</v>
      </c>
      <c r="Q30" s="605">
        <f t="shared" si="14"/>
        <v>31760.044790046653</v>
      </c>
      <c r="R30" s="1054">
        <f t="shared" si="15"/>
        <v>0.8065613210100391</v>
      </c>
      <c r="S30" s="605">
        <f t="shared" si="16"/>
        <v>693.9</v>
      </c>
      <c r="T30" s="1055">
        <f t="shared" si="17"/>
        <v>0.017621917864053618</v>
      </c>
    </row>
    <row r="31" spans="1:20" ht="15.75" thickBot="1">
      <c r="A31" s="1456" t="s">
        <v>386</v>
      </c>
      <c r="B31" t="s">
        <v>240</v>
      </c>
      <c r="C31" s="250">
        <f ca="1">IF((INDIRECT(CONCATENATE("'",$B31,"'","!AL16")))="n.a.",0,(INDIRECT(CONCATENATE("'",$B31,"'","!AL16"))))</f>
        <v>488250</v>
      </c>
      <c r="D31" s="250">
        <f ca="1">IF((INDIRECT(CONCATENATE("'",$B31,"'","!AM16")))="n.a.",0,(INDIRECT(CONCATENATE("'",$B31,"'","!AM16"))))</f>
        <v>0</v>
      </c>
      <c r="E31" s="250">
        <f ca="1">IF((INDIRECT(CONCATENATE("'",$B31,"'","!AN16")))="n.a.",0,(INDIRECT(CONCATENATE("'",$B31,"'","!AN16"))))</f>
        <v>0</v>
      </c>
      <c r="F31" s="250">
        <f t="shared" si="6"/>
        <v>488250</v>
      </c>
      <c r="G31" s="250"/>
      <c r="H31" s="250"/>
      <c r="I31" s="250"/>
      <c r="J31" s="250"/>
      <c r="K31" s="250"/>
      <c r="L31" s="250"/>
      <c r="N31" s="571" t="s">
        <v>271</v>
      </c>
      <c r="O31" s="605">
        <f t="shared" si="12"/>
        <v>1934.8</v>
      </c>
      <c r="P31" s="1054">
        <f t="shared" si="13"/>
        <v>0.5112021652904615</v>
      </c>
      <c r="Q31" s="605">
        <f t="shared" si="14"/>
        <v>1250.004</v>
      </c>
      <c r="R31" s="1054">
        <f t="shared" si="15"/>
        <v>0.3302691500008983</v>
      </c>
      <c r="S31" s="605">
        <f t="shared" si="16"/>
        <v>600</v>
      </c>
      <c r="T31" s="1055">
        <f t="shared" si="17"/>
        <v>0.15852868470864012</v>
      </c>
    </row>
    <row r="32" spans="1:20" ht="15.75" thickBot="1">
      <c r="A32" s="1456"/>
      <c r="B32" t="s">
        <v>238</v>
      </c>
      <c r="C32" s="250">
        <f aca="true" ca="1" t="shared" si="18" ref="C32:C42">IF((INDIRECT(CONCATENATE("'",$B32,"'","!AL16")))="n.a.",0,(INDIRECT(CONCATENATE("'",$B32,"'","!AL16"))))</f>
        <v>0</v>
      </c>
      <c r="D32" s="250">
        <f aca="true" ca="1" t="shared" si="19" ref="D32:D42">IF((INDIRECT(CONCATENATE("'",$B32,"'","!AM16")))="n.a.",0,(INDIRECT(CONCATENATE("'",$B32,"'","!AM16"))))</f>
        <v>0</v>
      </c>
      <c r="E32" s="250">
        <f aca="true" ca="1" t="shared" si="20" ref="E32:E42">IF((INDIRECT(CONCATENATE("'",$B32,"'","!AN16")))="n.a.",0,(INDIRECT(CONCATENATE("'",$B32,"'","!AN16"))))</f>
        <v>0</v>
      </c>
      <c r="F32" s="250">
        <f t="shared" si="6"/>
        <v>0</v>
      </c>
      <c r="G32" s="250"/>
      <c r="H32" s="250"/>
      <c r="I32" s="250"/>
      <c r="J32" s="250"/>
      <c r="K32" s="250"/>
      <c r="L32" s="250"/>
      <c r="N32" s="570" t="s">
        <v>199</v>
      </c>
      <c r="O32" s="1056">
        <f t="shared" si="12"/>
        <v>580.1</v>
      </c>
      <c r="P32" s="1057">
        <f t="shared" si="13"/>
        <v>0.3713590679213879</v>
      </c>
      <c r="Q32" s="1056">
        <f t="shared" si="14"/>
        <v>532</v>
      </c>
      <c r="R32" s="1057">
        <f t="shared" si="15"/>
        <v>0.3405671851994111</v>
      </c>
      <c r="S32" s="1056">
        <f t="shared" si="16"/>
        <v>450</v>
      </c>
      <c r="T32" s="1058">
        <f t="shared" si="17"/>
        <v>0.28807374687920106</v>
      </c>
    </row>
    <row r="33" spans="1:20" ht="15.75" thickBot="1">
      <c r="A33" s="1456"/>
      <c r="B33" t="s">
        <v>122</v>
      </c>
      <c r="C33" s="250">
        <f ca="1" t="shared" si="18"/>
        <v>275590.60916691914</v>
      </c>
      <c r="D33" s="250">
        <f ca="1" t="shared" si="19"/>
        <v>27419.490045440776</v>
      </c>
      <c r="E33" s="250">
        <f ca="1" t="shared" si="20"/>
        <v>0</v>
      </c>
      <c r="F33" s="250">
        <f t="shared" si="6"/>
        <v>303010.0992123599</v>
      </c>
      <c r="G33" s="250"/>
      <c r="H33" s="250"/>
      <c r="I33" s="250"/>
      <c r="J33" s="250"/>
      <c r="K33" s="250"/>
      <c r="L33" s="250"/>
      <c r="N33" s="438"/>
      <c r="O33" s="606"/>
      <c r="P33" s="563"/>
      <c r="Q33" s="606"/>
      <c r="R33" s="563"/>
      <c r="S33" s="606"/>
      <c r="T33" s="563"/>
    </row>
    <row r="34" spans="1:21" ht="15.75" thickBot="1">
      <c r="A34" s="1456"/>
      <c r="B34" t="s">
        <v>242</v>
      </c>
      <c r="C34" s="250">
        <f ca="1">IF((INDIRECT(CONCATENATE("'",$B34,"'","!AL16")))="n.a.",0,(INDIRECT(CONCATENATE("'",$B34,"'","!AL16"))))</f>
        <v>0</v>
      </c>
      <c r="D34" s="250">
        <f ca="1">IF((INDIRECT(CONCATENATE("'",$B34,"'","!AM16")))="n.a.",0,(INDIRECT(CONCATENATE("'",$B34,"'","!AM16"))))</f>
        <v>0</v>
      </c>
      <c r="E34" s="250">
        <f ca="1">IF((INDIRECT(CONCATENATE("'",$B34,"'","!AN16")))="n.a.",0,(INDIRECT(CONCATENATE("'",$B34,"'","!AN16"))))</f>
        <v>1500000</v>
      </c>
      <c r="F34" s="250">
        <f t="shared" si="6"/>
        <v>1500000</v>
      </c>
      <c r="G34" s="250"/>
      <c r="H34" s="250"/>
      <c r="I34" s="250"/>
      <c r="J34" s="250"/>
      <c r="K34" s="250"/>
      <c r="L34" s="250"/>
      <c r="N34" s="1059" t="s">
        <v>437</v>
      </c>
      <c r="O34" s="1060">
        <f>SUM(O21:O32)</f>
        <v>82531.38801885792</v>
      </c>
      <c r="P34" s="1061">
        <f t="shared" si="13"/>
        <v>0.44681159077209703</v>
      </c>
      <c r="Q34" s="1060">
        <f>SUM(Q21:Q32)</f>
        <v>90581.42706477636</v>
      </c>
      <c r="R34" s="1061">
        <f t="shared" si="15"/>
        <v>0.49039320060837477</v>
      </c>
      <c r="S34" s="1060">
        <f>SUM(S21:S32)</f>
        <v>11599.018099212359</v>
      </c>
      <c r="T34" s="1062">
        <f t="shared" si="17"/>
        <v>0.06279520861952827</v>
      </c>
      <c r="U34" s="250">
        <f>SUM(O34:S34)</f>
        <v>184712.77038763798</v>
      </c>
    </row>
    <row r="35" spans="1:20" ht="12.75">
      <c r="A35" s="1456"/>
      <c r="B35" t="s">
        <v>239</v>
      </c>
      <c r="C35" s="250">
        <f ca="1" t="shared" si="18"/>
        <v>6005999.999999999</v>
      </c>
      <c r="D35" s="250">
        <f ca="1" t="shared" si="19"/>
        <v>0</v>
      </c>
      <c r="E35" s="250">
        <f ca="1" t="shared" si="20"/>
        <v>1011000.0000000001</v>
      </c>
      <c r="F35" s="250">
        <f t="shared" si="6"/>
        <v>7016999.999999999</v>
      </c>
      <c r="G35" s="250"/>
      <c r="H35" s="250"/>
      <c r="I35" s="250"/>
      <c r="J35" s="250"/>
      <c r="K35" s="250"/>
      <c r="L35" s="250"/>
      <c r="N35"/>
      <c r="O35"/>
      <c r="P35"/>
      <c r="Q35"/>
      <c r="R35"/>
      <c r="S35"/>
      <c r="T35"/>
    </row>
    <row r="36" spans="1:20" ht="12.75">
      <c r="A36" s="1456"/>
      <c r="B36" t="s">
        <v>280</v>
      </c>
      <c r="C36" s="250">
        <f ca="1" t="shared" si="18"/>
        <v>0</v>
      </c>
      <c r="D36" s="250">
        <f ca="1" t="shared" si="19"/>
        <v>0</v>
      </c>
      <c r="E36" s="250">
        <f ca="1" t="shared" si="20"/>
        <v>0</v>
      </c>
      <c r="F36" s="250">
        <f t="shared" si="6"/>
        <v>0</v>
      </c>
      <c r="G36" s="250"/>
      <c r="H36" s="250"/>
      <c r="I36" s="250"/>
      <c r="J36" s="250"/>
      <c r="K36" s="250"/>
      <c r="L36" s="250"/>
      <c r="N36"/>
      <c r="O36"/>
      <c r="P36"/>
      <c r="Q36"/>
      <c r="R36"/>
      <c r="S36"/>
      <c r="T36"/>
    </row>
    <row r="37" spans="1:19" ht="13.5" thickBot="1">
      <c r="A37" s="1456"/>
      <c r="B37" t="s">
        <v>284</v>
      </c>
      <c r="C37" s="250">
        <f ca="1" t="shared" si="18"/>
        <v>187500</v>
      </c>
      <c r="D37" s="250">
        <f ca="1" t="shared" si="19"/>
        <v>0</v>
      </c>
      <c r="E37" s="250">
        <f ca="1" t="shared" si="20"/>
        <v>75000</v>
      </c>
      <c r="F37" s="250">
        <f t="shared" si="6"/>
        <v>262500</v>
      </c>
      <c r="G37" s="250"/>
      <c r="H37" s="250"/>
      <c r="I37" s="250"/>
      <c r="J37" s="250"/>
      <c r="K37" s="250"/>
      <c r="L37" s="250"/>
      <c r="O37" s="612"/>
      <c r="P37" s="612"/>
      <c r="Q37" s="612"/>
      <c r="R37" s="612"/>
      <c r="S37" s="612"/>
    </row>
    <row r="38" spans="1:20" ht="15" thickBot="1">
      <c r="A38" s="1456"/>
      <c r="B38" t="s">
        <v>127</v>
      </c>
      <c r="C38" s="250">
        <f ca="1" t="shared" si="18"/>
        <v>258300</v>
      </c>
      <c r="D38" s="250">
        <f ca="1" t="shared" si="19"/>
        <v>0</v>
      </c>
      <c r="E38" s="250">
        <f ca="1" t="shared" si="20"/>
        <v>0</v>
      </c>
      <c r="F38" s="250">
        <f t="shared" si="6"/>
        <v>258300</v>
      </c>
      <c r="G38" s="250"/>
      <c r="H38" s="250"/>
      <c r="I38" s="250"/>
      <c r="J38" s="250"/>
      <c r="K38" s="250"/>
      <c r="L38" s="250"/>
      <c r="N38" s="1252"/>
      <c r="O38" s="1323" t="s">
        <v>438</v>
      </c>
      <c r="P38" s="1451"/>
      <c r="Q38" s="1319" t="s">
        <v>435</v>
      </c>
      <c r="R38" s="1451"/>
      <c r="S38" s="1319" t="s">
        <v>436</v>
      </c>
      <c r="T38" s="1452"/>
    </row>
    <row r="39" spans="1:20" ht="15" thickBot="1">
      <c r="A39" s="1456"/>
      <c r="B39" t="s">
        <v>281</v>
      </c>
      <c r="C39" s="250">
        <f ca="1" t="shared" si="18"/>
        <v>0</v>
      </c>
      <c r="D39" s="250">
        <f ca="1" t="shared" si="19"/>
        <v>0</v>
      </c>
      <c r="E39" s="250">
        <f ca="1" t="shared" si="20"/>
        <v>26058</v>
      </c>
      <c r="F39" s="250">
        <f t="shared" si="6"/>
        <v>26058</v>
      </c>
      <c r="G39" s="250"/>
      <c r="H39" s="250"/>
      <c r="I39" s="250"/>
      <c r="J39" s="250"/>
      <c r="K39" s="250"/>
      <c r="L39" s="250"/>
      <c r="N39" s="1253"/>
      <c r="O39" s="444" t="s">
        <v>286</v>
      </c>
      <c r="P39" s="445" t="s">
        <v>70</v>
      </c>
      <c r="Q39" s="436" t="s">
        <v>286</v>
      </c>
      <c r="R39" s="445" t="s">
        <v>70</v>
      </c>
      <c r="S39" s="436" t="s">
        <v>286</v>
      </c>
      <c r="T39" s="446" t="s">
        <v>70</v>
      </c>
    </row>
    <row r="40" spans="1:20" ht="15.75" thickBot="1">
      <c r="A40" s="1456"/>
      <c r="B40" t="s">
        <v>1</v>
      </c>
      <c r="C40" s="250">
        <f ca="1" t="shared" si="18"/>
        <v>693900</v>
      </c>
      <c r="D40" s="250">
        <f ca="1" t="shared" si="19"/>
        <v>0</v>
      </c>
      <c r="E40" s="250">
        <f ca="1" t="shared" si="20"/>
        <v>0</v>
      </c>
      <c r="F40" s="250">
        <f t="shared" si="6"/>
        <v>693900</v>
      </c>
      <c r="G40" s="250"/>
      <c r="H40" s="250"/>
      <c r="I40" s="250"/>
      <c r="J40" s="250"/>
      <c r="K40" s="250"/>
      <c r="L40" s="250"/>
      <c r="N40" s="569" t="s">
        <v>240</v>
      </c>
      <c r="O40" s="605">
        <f aca="true" t="shared" si="21" ref="O40:O51">(C7+C19+C31)/1000</f>
        <v>2050.547462830482</v>
      </c>
      <c r="P40" s="1054">
        <f>O40/(O40+Q40+S40)</f>
        <v>0.14197549948775018</v>
      </c>
      <c r="Q40" s="605">
        <f aca="true" t="shared" si="22" ref="Q40:Q51">(D7+D19+D31)/1000</f>
        <v>3854.6846</v>
      </c>
      <c r="R40" s="1054">
        <f>Q40/(O40+Q40+S40)</f>
        <v>0.2668900775880169</v>
      </c>
      <c r="S40" s="605">
        <f aca="true" t="shared" si="23" ref="S40:S51">(E7+E19+E31)/1000</f>
        <v>8537.735</v>
      </c>
      <c r="T40" s="1055">
        <f>S40/(O40+Q40+S40)</f>
        <v>0.5911344229242329</v>
      </c>
    </row>
    <row r="41" spans="1:20" ht="15.75" thickBot="1">
      <c r="A41" s="1456"/>
      <c r="B41" t="s">
        <v>271</v>
      </c>
      <c r="C41" s="250">
        <f ca="1" t="shared" si="18"/>
        <v>600000</v>
      </c>
      <c r="D41" s="250">
        <f ca="1" t="shared" si="19"/>
        <v>0</v>
      </c>
      <c r="E41" s="250">
        <f ca="1" t="shared" si="20"/>
        <v>0</v>
      </c>
      <c r="F41" s="250">
        <f t="shared" si="6"/>
        <v>600000</v>
      </c>
      <c r="G41" s="250"/>
      <c r="H41" s="250"/>
      <c r="I41" s="250"/>
      <c r="J41" s="250"/>
      <c r="K41" s="250"/>
      <c r="L41" s="250"/>
      <c r="N41" s="571" t="s">
        <v>238</v>
      </c>
      <c r="O41" s="605">
        <f t="shared" si="21"/>
        <v>537.8799129082425</v>
      </c>
      <c r="P41" s="1054">
        <f>O41/(O41+Q41+S41)</f>
        <v>0.06775159502560052</v>
      </c>
      <c r="Q41" s="605">
        <f t="shared" si="22"/>
        <v>2270.1200870917573</v>
      </c>
      <c r="R41" s="1054">
        <f aca="true" t="shared" si="24" ref="R41:R51">Q41/(O41+Q41+S41)</f>
        <v>0.2859453441355029</v>
      </c>
      <c r="S41" s="605">
        <f t="shared" si="23"/>
        <v>5131</v>
      </c>
      <c r="T41" s="1055">
        <f aca="true" t="shared" si="25" ref="T41:T51">S41/(O41+Q41+S41)</f>
        <v>0.6463030608388965</v>
      </c>
    </row>
    <row r="42" spans="1:20" ht="15.75" thickBot="1">
      <c r="A42" s="1456"/>
      <c r="B42" t="s">
        <v>199</v>
      </c>
      <c r="C42" s="250">
        <f ca="1" t="shared" si="18"/>
        <v>450000</v>
      </c>
      <c r="D42" s="250">
        <f ca="1" t="shared" si="19"/>
        <v>0</v>
      </c>
      <c r="E42" s="250">
        <f ca="1" t="shared" si="20"/>
        <v>0</v>
      </c>
      <c r="F42" s="250">
        <f t="shared" si="6"/>
        <v>450000</v>
      </c>
      <c r="G42" s="250"/>
      <c r="H42" s="250"/>
      <c r="I42" s="250"/>
      <c r="J42" s="250"/>
      <c r="K42" s="250"/>
      <c r="L42" s="250"/>
      <c r="N42" s="571" t="s">
        <v>122</v>
      </c>
      <c r="O42" s="605">
        <f t="shared" si="21"/>
        <v>8593.778062315945</v>
      </c>
      <c r="P42" s="1054">
        <f>O42/(O42+Q42+S42)</f>
        <v>0.26110507279669054</v>
      </c>
      <c r="Q42" s="605">
        <f t="shared" si="22"/>
        <v>18595.560036982282</v>
      </c>
      <c r="R42" s="1054">
        <f t="shared" si="24"/>
        <v>0.5649895798964819</v>
      </c>
      <c r="S42" s="605">
        <f t="shared" si="23"/>
        <v>5723.764546576027</v>
      </c>
      <c r="T42" s="1055">
        <f t="shared" si="25"/>
        <v>0.17390534730682755</v>
      </c>
    </row>
    <row r="43" spans="3:20" ht="15.75" thickBot="1">
      <c r="C43" s="250">
        <f>SUM(C7:C42)</f>
        <v>43827948.57709044</v>
      </c>
      <c r="D43" s="250">
        <f>SUM(D7:D42)</f>
        <v>53271781.37508494</v>
      </c>
      <c r="E43" s="250">
        <f>SUM(E7:E42)</f>
        <v>87612103.23067126</v>
      </c>
      <c r="F43" s="250"/>
      <c r="G43" s="250"/>
      <c r="H43" s="250"/>
      <c r="I43" s="250"/>
      <c r="J43" s="250"/>
      <c r="K43" s="250"/>
      <c r="N43" s="571" t="s">
        <v>242</v>
      </c>
      <c r="O43" s="605">
        <f t="shared" si="21"/>
        <v>513.5</v>
      </c>
      <c r="P43" s="1054">
        <f>O43/(O43+Q43+S43)</f>
        <v>0.012443923669804683</v>
      </c>
      <c r="Q43" s="605">
        <f t="shared" si="22"/>
        <v>3825</v>
      </c>
      <c r="R43" s="1054">
        <f t="shared" si="24"/>
        <v>0.09269329705355972</v>
      </c>
      <c r="S43" s="605">
        <f t="shared" si="23"/>
        <v>36926.619718309856</v>
      </c>
      <c r="T43" s="1055">
        <f t="shared" si="25"/>
        <v>0.8948627792766356</v>
      </c>
    </row>
    <row r="44" spans="6:20" ht="15.75" thickBot="1">
      <c r="F44" s="250"/>
      <c r="N44" s="571" t="s">
        <v>239</v>
      </c>
      <c r="O44" s="605">
        <f t="shared" si="21"/>
        <v>15363.6</v>
      </c>
      <c r="P44" s="1054">
        <f aca="true" t="shared" si="26" ref="P44:P51">O44/(O44+Q44+S44)</f>
        <v>0.5075419714178114</v>
      </c>
      <c r="Q44" s="605">
        <f t="shared" si="22"/>
        <v>1696</v>
      </c>
      <c r="R44" s="1054">
        <f t="shared" si="24"/>
        <v>0.0560279611239949</v>
      </c>
      <c r="S44" s="605">
        <f t="shared" si="23"/>
        <v>13211</v>
      </c>
      <c r="T44" s="1055">
        <f t="shared" si="25"/>
        <v>0.4364300674581938</v>
      </c>
    </row>
    <row r="45" spans="3:20" ht="15.75" thickBot="1">
      <c r="C45" s="250">
        <f>SUM(C46:C57)</f>
        <v>33875272.61121751</v>
      </c>
      <c r="D45" s="250">
        <f>SUM(D46:D57)</f>
        <v>68557619.63889517</v>
      </c>
      <c r="E45" s="250">
        <f>SUM(E46:E57)</f>
        <v>88097932.8353506</v>
      </c>
      <c r="N45" s="571" t="s">
        <v>280</v>
      </c>
      <c r="O45" s="605">
        <f t="shared" si="21"/>
        <v>774.8</v>
      </c>
      <c r="P45" s="1054">
        <f t="shared" si="26"/>
        <v>0.2414730228383365</v>
      </c>
      <c r="Q45" s="605">
        <f t="shared" si="22"/>
        <v>421.56</v>
      </c>
      <c r="R45" s="1054">
        <f t="shared" si="24"/>
        <v>0.131382766530368</v>
      </c>
      <c r="S45" s="605">
        <f t="shared" si="23"/>
        <v>2012.28</v>
      </c>
      <c r="T45" s="1055">
        <f t="shared" si="25"/>
        <v>0.6271442106312956</v>
      </c>
    </row>
    <row r="46" spans="2:20" ht="15.75" thickBot="1">
      <c r="B46" t="s">
        <v>240</v>
      </c>
      <c r="C46" s="250">
        <f aca="true" t="shared" si="27" ref="C46:E47">C63+C75+C87</f>
        <v>2364403.2171073095</v>
      </c>
      <c r="D46" s="250">
        <f t="shared" si="27"/>
        <v>3854684.6</v>
      </c>
      <c r="E46" s="250">
        <f t="shared" si="27"/>
        <v>8537735</v>
      </c>
      <c r="F46" s="250"/>
      <c r="G46" s="250"/>
      <c r="K46" s="250"/>
      <c r="L46" s="250"/>
      <c r="N46" s="571" t="s">
        <v>284</v>
      </c>
      <c r="O46" s="605">
        <f t="shared" si="21"/>
        <v>1400</v>
      </c>
      <c r="P46" s="1054">
        <f t="shared" si="26"/>
        <v>0.7135575942915392</v>
      </c>
      <c r="Q46" s="605">
        <f t="shared" si="22"/>
        <v>150</v>
      </c>
      <c r="R46" s="1054">
        <f t="shared" si="24"/>
        <v>0.0764525993883792</v>
      </c>
      <c r="S46" s="605">
        <f t="shared" si="23"/>
        <v>412</v>
      </c>
      <c r="T46" s="1055">
        <f t="shared" si="25"/>
        <v>0.20998980632008155</v>
      </c>
    </row>
    <row r="47" spans="2:20" ht="15.75" thickBot="1">
      <c r="B47" t="s">
        <v>238</v>
      </c>
      <c r="C47" s="250">
        <f t="shared" si="27"/>
        <v>590506.5505443234</v>
      </c>
      <c r="D47" s="250">
        <f t="shared" si="27"/>
        <v>2558493.4494556766</v>
      </c>
      <c r="E47" s="250">
        <f t="shared" si="27"/>
        <v>5981000</v>
      </c>
      <c r="F47" s="250"/>
      <c r="G47" s="250"/>
      <c r="K47" s="250"/>
      <c r="L47" s="250"/>
      <c r="N47" s="571" t="s">
        <v>127</v>
      </c>
      <c r="O47" s="605">
        <f t="shared" si="21"/>
        <v>595.0971732503888</v>
      </c>
      <c r="P47" s="1054">
        <f t="shared" si="26"/>
        <v>0.10308640057691047</v>
      </c>
      <c r="Q47" s="605">
        <f t="shared" si="22"/>
        <v>2010.7028267496112</v>
      </c>
      <c r="R47" s="1054">
        <f t="shared" si="24"/>
        <v>0.3483063377822913</v>
      </c>
      <c r="S47" s="605">
        <f t="shared" si="23"/>
        <v>3167</v>
      </c>
      <c r="T47" s="1055">
        <f t="shared" si="25"/>
        <v>0.5486072616407982</v>
      </c>
    </row>
    <row r="48" spans="2:20" ht="15.75" thickBot="1">
      <c r="B48" t="s">
        <v>122</v>
      </c>
      <c r="C48" s="250">
        <f>C66+C78+C90</f>
        <v>4474573.980113315</v>
      </c>
      <c r="D48" s="250">
        <f>D66+D78+D90</f>
        <v>25590992.679952715</v>
      </c>
      <c r="E48" s="250">
        <f>E66+E78+E90</f>
        <v>5458260.869565221</v>
      </c>
      <c r="F48" s="250"/>
      <c r="G48" s="250"/>
      <c r="K48" s="250"/>
      <c r="L48" s="250"/>
      <c r="N48" s="571" t="s">
        <v>281</v>
      </c>
      <c r="O48" s="605">
        <f t="shared" si="21"/>
        <v>27.792</v>
      </c>
      <c r="P48" s="1054">
        <f t="shared" si="26"/>
        <v>0.012555108169900537</v>
      </c>
      <c r="Q48" s="605">
        <f t="shared" si="22"/>
        <v>531.063</v>
      </c>
      <c r="R48" s="1054">
        <f t="shared" si="24"/>
        <v>0.2399090893074226</v>
      </c>
      <c r="S48" s="605">
        <f t="shared" si="23"/>
        <v>1654.746</v>
      </c>
      <c r="T48" s="1055">
        <f t="shared" si="25"/>
        <v>0.7475358025226768</v>
      </c>
    </row>
    <row r="49" spans="2:20" ht="15.75" thickBot="1">
      <c r="B49" t="s">
        <v>242</v>
      </c>
      <c r="C49" s="250">
        <f>C65+C77+C89</f>
        <v>0</v>
      </c>
      <c r="D49" s="250">
        <f>D65+D77+D89</f>
        <v>3102000</v>
      </c>
      <c r="E49" s="250">
        <f>E65+E77+E89</f>
        <v>44400522</v>
      </c>
      <c r="F49" s="250"/>
      <c r="G49" s="250"/>
      <c r="K49" s="250"/>
      <c r="L49" s="250"/>
      <c r="N49" s="571" t="s">
        <v>1</v>
      </c>
      <c r="O49" s="605">
        <f t="shared" si="21"/>
        <v>10995.45396578538</v>
      </c>
      <c r="P49" s="1054">
        <f t="shared" si="26"/>
        <v>0.2792347408316077</v>
      </c>
      <c r="Q49" s="605">
        <f t="shared" si="22"/>
        <v>19458.490824261273</v>
      </c>
      <c r="R49" s="1054">
        <f t="shared" si="24"/>
        <v>0.4941575544942688</v>
      </c>
      <c r="S49" s="605">
        <f t="shared" si="23"/>
        <v>8923.153965785381</v>
      </c>
      <c r="T49" s="1055">
        <f t="shared" si="25"/>
        <v>0.2266077046741235</v>
      </c>
    </row>
    <row r="50" spans="2:20" ht="15.75" thickBot="1">
      <c r="B50" t="s">
        <v>239</v>
      </c>
      <c r="C50" s="250">
        <f aca="true" t="shared" si="28" ref="C50:D57">C67+C79+C91</f>
        <v>6200000</v>
      </c>
      <c r="D50" s="250">
        <f t="shared" si="28"/>
        <v>4848000</v>
      </c>
      <c r="E50" s="250">
        <f aca="true" t="shared" si="29" ref="E50:E57">E67+E79+E91</f>
        <v>6115000</v>
      </c>
      <c r="F50" s="250"/>
      <c r="G50" s="250"/>
      <c r="K50" s="250"/>
      <c r="L50" s="250"/>
      <c r="N50" s="571" t="s">
        <v>271</v>
      </c>
      <c r="O50" s="605">
        <f t="shared" si="21"/>
        <v>2268</v>
      </c>
      <c r="P50" s="1054">
        <f t="shared" si="26"/>
        <v>0.5992384281986597</v>
      </c>
      <c r="Q50" s="605">
        <f t="shared" si="22"/>
        <v>224</v>
      </c>
      <c r="R50" s="1054">
        <f t="shared" si="24"/>
        <v>0.05918404229122565</v>
      </c>
      <c r="S50" s="605">
        <f t="shared" si="23"/>
        <v>1292.804</v>
      </c>
      <c r="T50" s="1055">
        <f t="shared" si="25"/>
        <v>0.34157752951011466</v>
      </c>
    </row>
    <row r="51" spans="2:20" ht="15.75" thickBot="1">
      <c r="B51" t="s">
        <v>280</v>
      </c>
      <c r="C51" s="250">
        <f>C68+C80+C92</f>
        <v>774800</v>
      </c>
      <c r="D51" s="250">
        <f t="shared" si="28"/>
        <v>421560</v>
      </c>
      <c r="E51" s="250">
        <f t="shared" si="29"/>
        <v>2012280</v>
      </c>
      <c r="F51" s="250"/>
      <c r="G51" s="250"/>
      <c r="K51" s="250"/>
      <c r="L51" s="250"/>
      <c r="N51" s="570" t="s">
        <v>199</v>
      </c>
      <c r="O51" s="1063">
        <f t="shared" si="21"/>
        <v>707.5</v>
      </c>
      <c r="P51" s="1061">
        <f t="shared" si="26"/>
        <v>0.4529159464822995</v>
      </c>
      <c r="Q51" s="1063">
        <f t="shared" si="22"/>
        <v>234.6</v>
      </c>
      <c r="R51" s="1061">
        <f t="shared" si="24"/>
        <v>0.15018244670635683</v>
      </c>
      <c r="S51" s="1063">
        <f t="shared" si="23"/>
        <v>620</v>
      </c>
      <c r="T51" s="1062">
        <f t="shared" si="25"/>
        <v>0.39690160681134373</v>
      </c>
    </row>
    <row r="52" spans="2:20" ht="15.75" thickBot="1">
      <c r="B52" t="s">
        <v>284</v>
      </c>
      <c r="C52" s="250">
        <f t="shared" si="28"/>
        <v>1555000</v>
      </c>
      <c r="D52" s="250">
        <f t="shared" si="28"/>
        <v>150000</v>
      </c>
      <c r="E52" s="250">
        <f t="shared" si="29"/>
        <v>437000</v>
      </c>
      <c r="F52" s="250"/>
      <c r="G52" s="250"/>
      <c r="K52" s="250"/>
      <c r="L52" s="250"/>
      <c r="O52" s="606"/>
      <c r="P52" s="563"/>
      <c r="Q52" s="606"/>
      <c r="R52" s="563"/>
      <c r="S52" s="606"/>
      <c r="T52" s="563"/>
    </row>
    <row r="53" spans="2:20" ht="15.75" thickBot="1">
      <c r="B53" t="s">
        <v>127</v>
      </c>
      <c r="C53" s="250">
        <f t="shared" si="28"/>
        <v>717462.897667185</v>
      </c>
      <c r="D53" s="250">
        <f t="shared" si="28"/>
        <v>2255937.102332815</v>
      </c>
      <c r="E53" s="250">
        <f t="shared" si="29"/>
        <v>3167000</v>
      </c>
      <c r="F53" s="250"/>
      <c r="G53" s="250"/>
      <c r="K53" s="250"/>
      <c r="L53" s="250"/>
      <c r="N53" s="1059" t="s">
        <v>437</v>
      </c>
      <c r="O53" s="1063">
        <f>SUM(O40:O51)</f>
        <v>43827.948577090436</v>
      </c>
      <c r="P53" s="1061">
        <f>O53/(O53+Q53+S53)</f>
        <v>0.23727742734113336</v>
      </c>
      <c r="Q53" s="1060">
        <f>SUM(Q40:Q51)</f>
        <v>53271.781375084924</v>
      </c>
      <c r="R53" s="1061">
        <f>Q53/(O53+Q53+S53)</f>
        <v>0.288404811197727</v>
      </c>
      <c r="S53" s="1060">
        <f>SUM(S40:S51)</f>
        <v>87612.10323067127</v>
      </c>
      <c r="T53" s="1062">
        <f>S53/(O53+Q53+S53)</f>
        <v>0.4743177614611397</v>
      </c>
    </row>
    <row r="54" spans="2:20" ht="15">
      <c r="B54" t="s">
        <v>281</v>
      </c>
      <c r="C54" s="250">
        <f t="shared" si="28"/>
        <v>74112</v>
      </c>
      <c r="D54" s="250">
        <f t="shared" si="28"/>
        <v>708084</v>
      </c>
      <c r="E54" s="250">
        <f t="shared" si="29"/>
        <v>1373177</v>
      </c>
      <c r="F54" s="250"/>
      <c r="G54" s="250"/>
      <c r="K54" s="250"/>
      <c r="L54" s="250"/>
      <c r="O54" s="606"/>
      <c r="P54" s="563"/>
      <c r="Q54" s="606"/>
      <c r="R54" s="563"/>
      <c r="S54" s="606"/>
      <c r="T54" s="563"/>
    </row>
    <row r="55" spans="2:20" ht="15">
      <c r="B55" t="s">
        <v>1</v>
      </c>
      <c r="C55" s="250">
        <f t="shared" si="28"/>
        <v>11226753.96578538</v>
      </c>
      <c r="D55" s="250">
        <f t="shared" si="28"/>
        <v>24609267.807153966</v>
      </c>
      <c r="E55" s="250">
        <f t="shared" si="29"/>
        <v>8923153.96578538</v>
      </c>
      <c r="F55" s="250"/>
      <c r="G55" s="250"/>
      <c r="K55" s="250"/>
      <c r="L55" s="250"/>
      <c r="O55" s="606"/>
      <c r="P55" s="563"/>
      <c r="Q55" s="606"/>
      <c r="R55" s="563"/>
      <c r="S55" s="606"/>
      <c r="T55" s="563"/>
    </row>
    <row r="56" spans="2:20" ht="15">
      <c r="B56" t="s">
        <v>271</v>
      </c>
      <c r="C56" s="250">
        <f t="shared" si="28"/>
        <v>2540000</v>
      </c>
      <c r="D56" s="250">
        <f t="shared" si="28"/>
        <v>224000</v>
      </c>
      <c r="E56" s="250">
        <f t="shared" si="29"/>
        <v>1292804</v>
      </c>
      <c r="F56" s="250"/>
      <c r="G56" s="250"/>
      <c r="K56" s="250"/>
      <c r="L56" s="250"/>
      <c r="O56" s="606"/>
      <c r="P56" s="563"/>
      <c r="Q56" s="606"/>
      <c r="R56" s="563"/>
      <c r="S56" s="606"/>
      <c r="T56" s="563"/>
    </row>
    <row r="57" spans="2:20" ht="15">
      <c r="B57" t="s">
        <v>199</v>
      </c>
      <c r="C57" s="250">
        <f t="shared" si="28"/>
        <v>3357660</v>
      </c>
      <c r="D57" s="250">
        <f t="shared" si="28"/>
        <v>234600</v>
      </c>
      <c r="E57" s="250">
        <f t="shared" si="29"/>
        <v>400000</v>
      </c>
      <c r="F57" s="250"/>
      <c r="G57" s="250"/>
      <c r="K57" s="250"/>
      <c r="L57" s="250"/>
      <c r="O57" s="606"/>
      <c r="P57" s="563"/>
      <c r="Q57" s="606"/>
      <c r="R57" s="563"/>
      <c r="S57" s="606"/>
      <c r="T57" s="563"/>
    </row>
    <row r="58" spans="15:20" ht="15">
      <c r="O58" s="606"/>
      <c r="P58" s="563"/>
      <c r="Q58" s="606"/>
      <c r="R58" s="563"/>
      <c r="S58" s="606"/>
      <c r="T58" s="563"/>
    </row>
    <row r="59" spans="15:20" ht="15">
      <c r="O59" s="606"/>
      <c r="P59" s="563"/>
      <c r="Q59" s="606"/>
      <c r="R59" s="563"/>
      <c r="S59" s="606"/>
      <c r="T59" s="563"/>
    </row>
    <row r="60" spans="15:20" ht="15">
      <c r="O60" s="606"/>
      <c r="P60" s="563"/>
      <c r="Q60" s="606"/>
      <c r="R60" s="563"/>
      <c r="S60" s="606"/>
      <c r="T60" s="563"/>
    </row>
    <row r="61" spans="15:20" ht="15">
      <c r="O61" s="606"/>
      <c r="P61" s="563"/>
      <c r="Q61" s="606"/>
      <c r="R61" s="563"/>
      <c r="S61" s="606"/>
      <c r="T61" s="563"/>
    </row>
    <row r="62" spans="3:20" ht="15">
      <c r="C62" s="250">
        <f>SUM(C63:C98)</f>
        <v>33875272.61121751</v>
      </c>
      <c r="D62" s="250">
        <f>SUM(D63:D98)</f>
        <v>68557619.63889517</v>
      </c>
      <c r="F62" s="250"/>
      <c r="G62" s="250"/>
      <c r="O62" s="606"/>
      <c r="P62" s="563"/>
      <c r="Q62" s="606"/>
      <c r="R62" s="563"/>
      <c r="S62" s="606"/>
      <c r="T62" s="563"/>
    </row>
    <row r="63" spans="1:15" ht="15">
      <c r="A63" s="1456" t="s">
        <v>384</v>
      </c>
      <c r="B63" t="s">
        <v>240</v>
      </c>
      <c r="C63" s="250">
        <v>5675</v>
      </c>
      <c r="D63" s="250">
        <v>160470</v>
      </c>
      <c r="E63" s="250">
        <v>6763178</v>
      </c>
      <c r="F63" s="250"/>
      <c r="G63" s="250"/>
      <c r="H63" s="250"/>
      <c r="I63" s="250"/>
      <c r="J63" s="250"/>
      <c r="K63" s="250"/>
      <c r="L63" s="250"/>
      <c r="O63" s="606"/>
    </row>
    <row r="64" spans="1:20" ht="12.75">
      <c r="A64" s="1456"/>
      <c r="B64" t="s">
        <v>238</v>
      </c>
      <c r="C64" s="250">
        <v>0</v>
      </c>
      <c r="D64" s="250">
        <v>76000</v>
      </c>
      <c r="E64" s="250">
        <v>5810000</v>
      </c>
      <c r="F64" s="250"/>
      <c r="G64" s="250"/>
      <c r="H64" s="250"/>
      <c r="I64" s="250"/>
      <c r="J64" s="250"/>
      <c r="K64" s="250"/>
      <c r="L64" s="250"/>
      <c r="O64" s="612"/>
      <c r="P64" s="612"/>
      <c r="Q64" s="612"/>
      <c r="R64" s="612"/>
      <c r="S64" s="612"/>
      <c r="T64" s="612"/>
    </row>
    <row r="65" spans="1:20" ht="12.75">
      <c r="A65" s="1456"/>
      <c r="B65" t="s">
        <v>242</v>
      </c>
      <c r="C65" s="250">
        <v>0</v>
      </c>
      <c r="D65" s="250">
        <v>0</v>
      </c>
      <c r="E65" s="628">
        <v>44400000</v>
      </c>
      <c r="F65" s="250"/>
      <c r="G65" s="250"/>
      <c r="H65" s="250"/>
      <c r="I65" s="250"/>
      <c r="J65" s="250"/>
      <c r="K65" s="250"/>
      <c r="L65" s="250"/>
      <c r="O65" s="612"/>
      <c r="P65" s="612"/>
      <c r="Q65" s="612"/>
      <c r="R65" s="612"/>
      <c r="S65" s="612"/>
      <c r="T65" s="612"/>
    </row>
    <row r="66" spans="1:20" ht="12.75">
      <c r="A66" s="1456"/>
      <c r="B66" t="s">
        <v>122</v>
      </c>
      <c r="C66" s="250">
        <v>1394739.714128916</v>
      </c>
      <c r="D66" s="250">
        <v>884265.3932608699</v>
      </c>
      <c r="E66" s="250">
        <v>4478260.869565221</v>
      </c>
      <c r="F66" s="250"/>
      <c r="G66" s="250"/>
      <c r="H66" s="250"/>
      <c r="I66" s="250"/>
      <c r="J66" s="250"/>
      <c r="K66" s="250"/>
      <c r="L66" s="250"/>
      <c r="O66" s="612"/>
      <c r="P66" s="612"/>
      <c r="Q66" s="612"/>
      <c r="R66" s="612"/>
      <c r="S66" s="612"/>
      <c r="T66" s="612"/>
    </row>
    <row r="67" spans="1:20" ht="12.75">
      <c r="A67" s="1456"/>
      <c r="B67" t="s">
        <v>239</v>
      </c>
      <c r="C67" s="250">
        <v>0</v>
      </c>
      <c r="D67" s="250">
        <v>0</v>
      </c>
      <c r="E67" s="250">
        <v>5923000</v>
      </c>
      <c r="F67" s="250"/>
      <c r="G67" s="250"/>
      <c r="H67" s="250"/>
      <c r="I67" s="250"/>
      <c r="J67" s="250"/>
      <c r="K67" s="250"/>
      <c r="L67" s="250"/>
      <c r="O67" s="612"/>
      <c r="P67" s="612"/>
      <c r="Q67" s="612"/>
      <c r="R67" s="612"/>
      <c r="S67" s="612"/>
      <c r="T67" s="612"/>
    </row>
    <row r="68" spans="1:20" ht="12.75">
      <c r="A68" s="1456"/>
      <c r="B68" t="s">
        <v>280</v>
      </c>
      <c r="C68" s="250">
        <v>123700</v>
      </c>
      <c r="D68" s="250">
        <v>10500</v>
      </c>
      <c r="E68" s="250">
        <v>1350000</v>
      </c>
      <c r="F68" s="250"/>
      <c r="G68" s="250"/>
      <c r="H68" s="250"/>
      <c r="I68" s="250"/>
      <c r="J68" s="250"/>
      <c r="K68" s="250"/>
      <c r="L68" s="250"/>
      <c r="O68" s="612"/>
      <c r="P68" s="612"/>
      <c r="Q68" s="612"/>
      <c r="R68" s="612"/>
      <c r="S68" s="612"/>
      <c r="T68" s="612"/>
    </row>
    <row r="69" spans="1:20" ht="12.75">
      <c r="A69" s="1456"/>
      <c r="B69" t="s">
        <v>284</v>
      </c>
      <c r="C69" s="250">
        <v>210000</v>
      </c>
      <c r="D69" s="250">
        <v>0</v>
      </c>
      <c r="E69" s="250">
        <v>115000</v>
      </c>
      <c r="F69" s="250"/>
      <c r="G69" s="250"/>
      <c r="H69" s="250"/>
      <c r="I69" s="250"/>
      <c r="J69" s="250"/>
      <c r="K69" s="250"/>
      <c r="L69" s="250"/>
      <c r="O69" s="612"/>
      <c r="P69" s="612"/>
      <c r="Q69" s="612"/>
      <c r="R69" s="612"/>
      <c r="S69" s="612"/>
      <c r="T69" s="612"/>
    </row>
    <row r="70" spans="1:20" ht="12.75">
      <c r="A70" s="1456"/>
      <c r="B70" t="s">
        <v>127</v>
      </c>
      <c r="C70" s="250">
        <v>0</v>
      </c>
      <c r="D70" s="250">
        <v>0</v>
      </c>
      <c r="E70" s="250">
        <v>3128000</v>
      </c>
      <c r="F70" s="250"/>
      <c r="G70" s="250"/>
      <c r="H70" s="250"/>
      <c r="I70" s="250"/>
      <c r="J70" s="250"/>
      <c r="K70" s="250"/>
      <c r="L70" s="250"/>
      <c r="O70" s="612"/>
      <c r="P70" s="612"/>
      <c r="Q70" s="612"/>
      <c r="R70" s="612"/>
      <c r="S70" s="612"/>
      <c r="T70" s="612"/>
    </row>
    <row r="71" spans="1:20" ht="12.75">
      <c r="A71" s="1456"/>
      <c r="B71" t="s">
        <v>281</v>
      </c>
      <c r="C71" s="250">
        <v>0</v>
      </c>
      <c r="D71" s="250">
        <v>0</v>
      </c>
      <c r="E71" s="250">
        <v>1305081</v>
      </c>
      <c r="F71" s="250"/>
      <c r="G71" s="250"/>
      <c r="H71" s="250"/>
      <c r="I71" s="250"/>
      <c r="J71" s="250"/>
      <c r="K71" s="250"/>
      <c r="L71" s="250"/>
      <c r="O71" s="612"/>
      <c r="P71" s="612"/>
      <c r="Q71" s="612"/>
      <c r="R71" s="612"/>
      <c r="S71" s="612"/>
      <c r="T71" s="612"/>
    </row>
    <row r="72" spans="1:20" ht="12.75">
      <c r="A72" s="1456"/>
      <c r="B72" t="s">
        <v>1</v>
      </c>
      <c r="C72" s="250">
        <v>0</v>
      </c>
      <c r="D72" s="250">
        <v>0</v>
      </c>
      <c r="E72" s="250">
        <v>6923153.96578538</v>
      </c>
      <c r="F72" s="250"/>
      <c r="G72" s="250"/>
      <c r="H72" s="250"/>
      <c r="I72" s="250"/>
      <c r="J72" s="250"/>
      <c r="K72" s="250"/>
      <c r="L72" s="250"/>
      <c r="O72" s="612"/>
      <c r="P72" s="612"/>
      <c r="Q72" s="612"/>
      <c r="R72" s="612"/>
      <c r="S72" s="612"/>
      <c r="T72" s="612"/>
    </row>
    <row r="73" spans="1:20" ht="12.75">
      <c r="A73" s="1456"/>
      <c r="B73" t="s">
        <v>271</v>
      </c>
      <c r="C73" s="250">
        <v>788000</v>
      </c>
      <c r="D73" s="250">
        <v>0</v>
      </c>
      <c r="E73" s="250">
        <v>1218800</v>
      </c>
      <c r="F73" s="250"/>
      <c r="G73" s="250"/>
      <c r="H73" s="250"/>
      <c r="I73" s="250"/>
      <c r="J73" s="250"/>
      <c r="K73" s="250"/>
      <c r="L73" s="250"/>
      <c r="O73" s="612"/>
      <c r="P73" s="612"/>
      <c r="Q73" s="612"/>
      <c r="R73" s="612"/>
      <c r="S73" s="612"/>
      <c r="T73" s="612"/>
    </row>
    <row r="74" spans="1:20" ht="12.75">
      <c r="A74" s="1456"/>
      <c r="B74" t="s">
        <v>199</v>
      </c>
      <c r="C74" s="250">
        <v>257500</v>
      </c>
      <c r="D74" s="250">
        <v>234600</v>
      </c>
      <c r="E74" s="250">
        <v>88000</v>
      </c>
      <c r="F74" s="250"/>
      <c r="G74" s="250"/>
      <c r="H74" s="250"/>
      <c r="I74" s="250"/>
      <c r="J74" s="250"/>
      <c r="K74" s="250"/>
      <c r="L74" s="250"/>
      <c r="O74" s="612"/>
      <c r="P74" s="612"/>
      <c r="Q74" s="612"/>
      <c r="R74" s="612"/>
      <c r="S74" s="612"/>
      <c r="T74" s="612"/>
    </row>
    <row r="75" spans="1:20" ht="12.75">
      <c r="A75" s="1456" t="s">
        <v>385</v>
      </c>
      <c r="B75" t="s">
        <v>240</v>
      </c>
      <c r="C75" s="250">
        <v>1707728.2171073095</v>
      </c>
      <c r="D75" s="250">
        <v>3694214.6</v>
      </c>
      <c r="E75" s="250">
        <v>1774557</v>
      </c>
      <c r="F75" s="250"/>
      <c r="G75" s="250"/>
      <c r="H75" s="250"/>
      <c r="I75" s="250"/>
      <c r="J75" s="250"/>
      <c r="K75" s="250"/>
      <c r="L75" s="250"/>
      <c r="O75" s="612"/>
      <c r="P75" s="612"/>
      <c r="Q75" s="612"/>
      <c r="R75" s="612"/>
      <c r="S75" s="612"/>
      <c r="T75" s="612"/>
    </row>
    <row r="76" spans="1:20" ht="12.75">
      <c r="A76" s="1456"/>
      <c r="B76" t="s">
        <v>238</v>
      </c>
      <c r="C76" s="250">
        <v>590506.5505443234</v>
      </c>
      <c r="D76" s="250">
        <v>2482493.4494556766</v>
      </c>
      <c r="E76" s="250">
        <v>171000</v>
      </c>
      <c r="F76" s="250"/>
      <c r="G76" s="250"/>
      <c r="H76" s="250"/>
      <c r="I76" s="250"/>
      <c r="J76" s="250"/>
      <c r="K76" s="250"/>
      <c r="L76" s="250"/>
      <c r="O76" s="612"/>
      <c r="P76" s="612"/>
      <c r="Q76" s="612"/>
      <c r="R76" s="612"/>
      <c r="S76" s="612"/>
      <c r="T76" s="612"/>
    </row>
    <row r="77" spans="1:20" ht="12.75">
      <c r="A77" s="1456"/>
      <c r="B77" t="s">
        <v>242</v>
      </c>
      <c r="C77" s="250">
        <v>0</v>
      </c>
      <c r="D77" s="630">
        <v>3102000</v>
      </c>
      <c r="E77" s="250">
        <v>522</v>
      </c>
      <c r="F77" s="630"/>
      <c r="G77" s="630"/>
      <c r="H77" s="250"/>
      <c r="I77" s="250"/>
      <c r="J77" s="250"/>
      <c r="K77" s="250"/>
      <c r="L77" s="250"/>
      <c r="O77" s="612"/>
      <c r="P77" s="612"/>
      <c r="Q77" s="612"/>
      <c r="R77" s="612"/>
      <c r="S77" s="612"/>
      <c r="T77" s="612"/>
    </row>
    <row r="78" spans="1:20" ht="12.75">
      <c r="A78" s="1456"/>
      <c r="B78" t="s">
        <v>122</v>
      </c>
      <c r="C78" s="250">
        <v>2465596.8659843993</v>
      </c>
      <c r="D78" s="250">
        <v>24349806.229548987</v>
      </c>
      <c r="E78" s="250">
        <v>980000</v>
      </c>
      <c r="F78" s="250"/>
      <c r="G78" s="250"/>
      <c r="H78" s="250"/>
      <c r="I78" s="250"/>
      <c r="J78" s="250"/>
      <c r="K78" s="250"/>
      <c r="L78" s="250"/>
      <c r="O78" s="612"/>
      <c r="P78" s="612"/>
      <c r="Q78" s="612"/>
      <c r="R78" s="612"/>
      <c r="S78" s="612"/>
      <c r="T78" s="612"/>
    </row>
    <row r="79" spans="1:12" ht="12.75">
      <c r="A79" s="1456"/>
      <c r="B79" t="s">
        <v>239</v>
      </c>
      <c r="C79" s="250">
        <v>0</v>
      </c>
      <c r="D79" s="250">
        <v>4848000</v>
      </c>
      <c r="E79" s="250">
        <v>192000</v>
      </c>
      <c r="F79" s="250"/>
      <c r="G79" s="250"/>
      <c r="H79" s="250"/>
      <c r="I79" s="250"/>
      <c r="J79" s="250"/>
      <c r="K79" s="250"/>
      <c r="L79" s="250"/>
    </row>
    <row r="80" spans="1:12" ht="12.75">
      <c r="A80" s="1456"/>
      <c r="B80" t="s">
        <v>280</v>
      </c>
      <c r="C80" s="250">
        <v>651100</v>
      </c>
      <c r="D80" s="250">
        <v>411060</v>
      </c>
      <c r="E80" s="250">
        <v>662280</v>
      </c>
      <c r="F80" s="250"/>
      <c r="G80" s="250"/>
      <c r="H80" s="250"/>
      <c r="I80" s="250"/>
      <c r="J80" s="250"/>
      <c r="K80" s="250"/>
      <c r="L80" s="250"/>
    </row>
    <row r="81" spans="1:12" ht="12.75">
      <c r="A81" s="1456"/>
      <c r="B81" t="s">
        <v>284</v>
      </c>
      <c r="C81" s="250">
        <v>1095000</v>
      </c>
      <c r="D81" s="250">
        <v>150000</v>
      </c>
      <c r="E81" s="250">
        <v>222000</v>
      </c>
      <c r="F81" s="250"/>
      <c r="G81" s="250"/>
      <c r="H81" s="250"/>
      <c r="I81" s="250"/>
      <c r="J81" s="250"/>
      <c r="K81" s="250"/>
      <c r="L81" s="250"/>
    </row>
    <row r="82" spans="1:12" ht="12.75">
      <c r="A82" s="1456"/>
      <c r="B82" t="s">
        <v>127</v>
      </c>
      <c r="C82" s="250">
        <v>373062.89766718505</v>
      </c>
      <c r="D82" s="250">
        <v>2255937.102332815</v>
      </c>
      <c r="E82" s="250">
        <v>39000</v>
      </c>
      <c r="F82" s="250"/>
      <c r="G82" s="250"/>
      <c r="H82" s="250"/>
      <c r="I82" s="250"/>
      <c r="J82" s="250"/>
      <c r="K82" s="250"/>
      <c r="L82" s="250"/>
    </row>
    <row r="83" spans="1:12" ht="12.75">
      <c r="A83" s="1456"/>
      <c r="B83" t="s">
        <v>281</v>
      </c>
      <c r="C83" s="250">
        <v>74112</v>
      </c>
      <c r="D83" s="250">
        <v>708084</v>
      </c>
      <c r="E83" s="250">
        <v>62626</v>
      </c>
      <c r="F83" s="250"/>
      <c r="G83" s="250"/>
      <c r="H83" s="250"/>
      <c r="I83" s="250"/>
      <c r="J83" s="250"/>
      <c r="K83" s="250"/>
      <c r="L83" s="250"/>
    </row>
    <row r="84" spans="1:12" ht="12.75">
      <c r="A84" s="1456"/>
      <c r="B84" t="s">
        <v>1</v>
      </c>
      <c r="C84" s="250">
        <v>10301553.96578538</v>
      </c>
      <c r="D84" s="250">
        <v>24609267.807153966</v>
      </c>
      <c r="E84" s="250">
        <v>2000000</v>
      </c>
      <c r="F84" s="250"/>
      <c r="G84" s="250"/>
      <c r="H84" s="250"/>
      <c r="I84" s="250"/>
      <c r="J84" s="250"/>
      <c r="K84" s="250"/>
      <c r="L84" s="250"/>
    </row>
    <row r="85" spans="1:12" ht="12.75">
      <c r="A85" s="1456"/>
      <c r="B85" t="s">
        <v>271</v>
      </c>
      <c r="C85" s="250">
        <v>952000</v>
      </c>
      <c r="D85" s="250">
        <v>224000</v>
      </c>
      <c r="E85" s="250">
        <v>74004</v>
      </c>
      <c r="F85" s="250"/>
      <c r="G85" s="250"/>
      <c r="H85" s="250"/>
      <c r="I85" s="250"/>
      <c r="J85" s="250"/>
      <c r="K85" s="250"/>
      <c r="L85" s="250"/>
    </row>
    <row r="86" spans="1:12" ht="12.75">
      <c r="A86" s="1456"/>
      <c r="B86" t="s">
        <v>199</v>
      </c>
      <c r="C86" s="250">
        <v>0</v>
      </c>
      <c r="D86" s="250">
        <v>0</v>
      </c>
      <c r="E86" s="250">
        <v>312000</v>
      </c>
      <c r="F86" s="250"/>
      <c r="G86" s="250"/>
      <c r="H86" s="250"/>
      <c r="I86" s="250"/>
      <c r="J86" s="250"/>
      <c r="K86" s="250"/>
      <c r="L86" s="250"/>
    </row>
    <row r="87" spans="1:12" ht="12.75">
      <c r="A87" s="1456" t="s">
        <v>386</v>
      </c>
      <c r="B87" t="s">
        <v>240</v>
      </c>
      <c r="C87" s="250">
        <v>651000</v>
      </c>
      <c r="D87" s="250">
        <v>0</v>
      </c>
      <c r="E87" s="250">
        <v>0</v>
      </c>
      <c r="F87" s="250"/>
      <c r="G87" s="250"/>
      <c r="H87" s="250"/>
      <c r="I87" s="250"/>
      <c r="J87" s="250"/>
      <c r="K87" s="250"/>
      <c r="L87" s="250"/>
    </row>
    <row r="88" spans="1:12" ht="12.75">
      <c r="A88" s="1456"/>
      <c r="B88" t="s">
        <v>238</v>
      </c>
      <c r="C88" s="250">
        <v>0</v>
      </c>
      <c r="D88" s="250">
        <v>0</v>
      </c>
      <c r="E88" s="250">
        <v>0</v>
      </c>
      <c r="F88" s="250"/>
      <c r="G88" s="250"/>
      <c r="H88" s="250"/>
      <c r="I88" s="250"/>
      <c r="J88" s="250"/>
      <c r="K88" s="250"/>
      <c r="L88" s="250"/>
    </row>
    <row r="89" spans="1:12" ht="12.75">
      <c r="A89" s="1456"/>
      <c r="B89" t="s">
        <v>242</v>
      </c>
      <c r="C89" s="250">
        <v>0</v>
      </c>
      <c r="D89" s="250">
        <v>0</v>
      </c>
      <c r="E89" s="250">
        <v>0</v>
      </c>
      <c r="F89" s="250"/>
      <c r="G89" s="250"/>
      <c r="H89" s="250"/>
      <c r="I89" s="250"/>
      <c r="J89" s="250"/>
      <c r="K89" s="250"/>
      <c r="L89" s="250"/>
    </row>
    <row r="90" spans="1:12" ht="12.75">
      <c r="A90" s="1456"/>
      <c r="B90" t="s">
        <v>122</v>
      </c>
      <c r="C90" s="250">
        <v>614237.4</v>
      </c>
      <c r="D90" s="250">
        <v>356921.057142858</v>
      </c>
      <c r="E90" s="250">
        <v>0</v>
      </c>
      <c r="F90" s="250"/>
      <c r="G90" s="250"/>
      <c r="H90" s="250"/>
      <c r="I90" s="250"/>
      <c r="J90" s="250"/>
      <c r="K90" s="250"/>
      <c r="L90" s="250"/>
    </row>
    <row r="91" spans="1:12" ht="12.75">
      <c r="A91" s="1456"/>
      <c r="B91" t="s">
        <v>239</v>
      </c>
      <c r="C91" s="250">
        <v>6200000</v>
      </c>
      <c r="D91" s="250">
        <v>0</v>
      </c>
      <c r="E91" s="250">
        <v>0</v>
      </c>
      <c r="F91" s="250"/>
      <c r="G91" s="250"/>
      <c r="H91" s="250"/>
      <c r="I91" s="250"/>
      <c r="J91" s="250"/>
      <c r="K91" s="250"/>
      <c r="L91" s="250"/>
    </row>
    <row r="92" spans="1:12" ht="12.75">
      <c r="A92" s="1456"/>
      <c r="B92" t="s">
        <v>280</v>
      </c>
      <c r="C92" s="250">
        <v>0</v>
      </c>
      <c r="D92" s="250">
        <v>0</v>
      </c>
      <c r="E92" s="250">
        <v>0</v>
      </c>
      <c r="F92" s="250"/>
      <c r="G92" s="250"/>
      <c r="H92" s="250"/>
      <c r="I92" s="250"/>
      <c r="J92" s="250"/>
      <c r="K92" s="250"/>
      <c r="L92" s="250"/>
    </row>
    <row r="93" spans="1:12" ht="12.75">
      <c r="A93" s="1456"/>
      <c r="B93" t="s">
        <v>284</v>
      </c>
      <c r="C93" s="250">
        <v>250000</v>
      </c>
      <c r="D93" s="250">
        <v>0</v>
      </c>
      <c r="E93" s="250">
        <v>100000</v>
      </c>
      <c r="F93" s="250"/>
      <c r="G93" s="250"/>
      <c r="H93" s="250"/>
      <c r="I93" s="250"/>
      <c r="J93" s="250"/>
      <c r="K93" s="250"/>
      <c r="L93" s="250"/>
    </row>
    <row r="94" spans="1:12" ht="12.75">
      <c r="A94" s="1456"/>
      <c r="B94" t="s">
        <v>127</v>
      </c>
      <c r="C94" s="250">
        <v>344400</v>
      </c>
      <c r="D94" s="250">
        <v>0</v>
      </c>
      <c r="E94" s="250">
        <v>0</v>
      </c>
      <c r="F94" s="250"/>
      <c r="G94" s="250"/>
      <c r="H94" s="250"/>
      <c r="I94" s="250"/>
      <c r="J94" s="250"/>
      <c r="K94" s="250"/>
      <c r="L94" s="250"/>
    </row>
    <row r="95" spans="1:12" ht="12.75">
      <c r="A95" s="1456"/>
      <c r="B95" t="s">
        <v>281</v>
      </c>
      <c r="C95" s="250">
        <v>0</v>
      </c>
      <c r="D95" s="250">
        <v>0</v>
      </c>
      <c r="E95" s="250">
        <v>5470</v>
      </c>
      <c r="F95" s="250"/>
      <c r="G95" s="250"/>
      <c r="H95" s="250"/>
      <c r="I95" s="250"/>
      <c r="J95" s="250"/>
      <c r="K95" s="250"/>
      <c r="L95" s="250"/>
    </row>
    <row r="96" spans="1:12" ht="12.75">
      <c r="A96" s="1456"/>
      <c r="B96" t="s">
        <v>1</v>
      </c>
      <c r="C96" s="250">
        <v>925200</v>
      </c>
      <c r="D96" s="250">
        <v>0</v>
      </c>
      <c r="E96" s="250">
        <v>0</v>
      </c>
      <c r="F96" s="250"/>
      <c r="G96" s="250"/>
      <c r="H96" s="250"/>
      <c r="I96" s="250"/>
      <c r="J96" s="250"/>
      <c r="K96" s="250"/>
      <c r="L96" s="250"/>
    </row>
    <row r="97" spans="1:12" ht="12.75">
      <c r="A97" s="1456"/>
      <c r="B97" t="s">
        <v>271</v>
      </c>
      <c r="C97" s="250">
        <v>800000</v>
      </c>
      <c r="D97" s="250">
        <v>0</v>
      </c>
      <c r="E97" s="250">
        <v>0</v>
      </c>
      <c r="F97" s="250"/>
      <c r="G97" s="250"/>
      <c r="H97" s="250"/>
      <c r="I97" s="250"/>
      <c r="J97" s="250"/>
      <c r="K97" s="250"/>
      <c r="L97" s="250"/>
    </row>
    <row r="98" spans="1:12" ht="12.75">
      <c r="A98" s="1456"/>
      <c r="B98" t="s">
        <v>199</v>
      </c>
      <c r="C98" s="250">
        <v>3100160</v>
      </c>
      <c r="D98" s="250">
        <v>0</v>
      </c>
      <c r="E98" s="250">
        <v>0</v>
      </c>
      <c r="F98" s="250"/>
      <c r="G98" s="250"/>
      <c r="H98" s="250"/>
      <c r="I98" s="250"/>
      <c r="J98" s="250"/>
      <c r="K98" s="250"/>
      <c r="L98" s="250"/>
    </row>
  </sheetData>
  <mergeCells count="17">
    <mergeCell ref="A63:A74"/>
    <mergeCell ref="A75:A86"/>
    <mergeCell ref="A87:A98"/>
    <mergeCell ref="A7:A18"/>
    <mergeCell ref="A19:A30"/>
    <mergeCell ref="A31:A42"/>
    <mergeCell ref="R10:S11"/>
    <mergeCell ref="N12:Q12"/>
    <mergeCell ref="S12:T12"/>
    <mergeCell ref="N19:N20"/>
    <mergeCell ref="O19:P19"/>
    <mergeCell ref="Q19:R19"/>
    <mergeCell ref="S19:T19"/>
    <mergeCell ref="N38:N39"/>
    <mergeCell ref="O38:P38"/>
    <mergeCell ref="Q38:R38"/>
    <mergeCell ref="S38:T38"/>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Tabelle5">
    <tabColor indexed="11"/>
  </sheetPr>
  <dimension ref="C1:AS95"/>
  <sheetViews>
    <sheetView zoomScale="75" zoomScaleNormal="75" zoomScaleSheetLayoutView="100" workbookViewId="0" topLeftCell="AE7">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1.7109375" style="159" customWidth="1"/>
    <col min="10" max="10" width="10.4218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15.57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240</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Austria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8192880</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1.7628681321867867</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119</v>
      </c>
      <c r="H13" s="182">
        <v>12785491</v>
      </c>
      <c r="I13" s="183">
        <v>11403954</v>
      </c>
      <c r="J13" s="184">
        <v>8065591</v>
      </c>
      <c r="K13" s="210">
        <v>16123854</v>
      </c>
      <c r="L13" s="185"/>
      <c r="M13" s="186">
        <v>4132000</v>
      </c>
      <c r="N13" s="186">
        <v>1684000</v>
      </c>
      <c r="O13" s="187"/>
      <c r="P13" s="187"/>
      <c r="Q13" s="187"/>
      <c r="R13" s="211"/>
      <c r="S13" s="212"/>
      <c r="T13" s="213"/>
      <c r="U13" s="214"/>
      <c r="V13" s="517">
        <v>0</v>
      </c>
      <c r="W13" s="212"/>
      <c r="X13" s="215"/>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80" t="s">
        <v>119</v>
      </c>
      <c r="H14" s="188">
        <v>6698213</v>
      </c>
      <c r="I14" s="189">
        <v>333944</v>
      </c>
      <c r="J14" s="190">
        <v>112304</v>
      </c>
      <c r="K14" s="191">
        <v>6919853</v>
      </c>
      <c r="L14" s="220"/>
      <c r="M14" s="221"/>
      <c r="N14" s="221"/>
      <c r="O14" s="222"/>
      <c r="P14" s="192"/>
      <c r="Q14" s="199"/>
      <c r="R14" s="223"/>
      <c r="S14" s="193">
        <v>5675</v>
      </c>
      <c r="T14" s="192">
        <v>0</v>
      </c>
      <c r="U14" s="194">
        <v>0</v>
      </c>
      <c r="V14" s="518">
        <v>5675</v>
      </c>
      <c r="W14" s="193">
        <v>49</v>
      </c>
      <c r="X14" s="193"/>
      <c r="Y14" s="224">
        <v>1172</v>
      </c>
      <c r="Z14" s="225">
        <v>153803</v>
      </c>
      <c r="AA14" s="196">
        <v>6667</v>
      </c>
      <c r="AB14" s="521">
        <v>160470</v>
      </c>
      <c r="AC14" s="192">
        <v>6309576</v>
      </c>
      <c r="AD14" s="192">
        <v>397734</v>
      </c>
      <c r="AE14" s="194">
        <v>55868</v>
      </c>
      <c r="AF14" s="521">
        <v>6763178</v>
      </c>
      <c r="AG14" s="31"/>
      <c r="AH14" s="60" t="s">
        <v>71</v>
      </c>
      <c r="AK14" s="63" t="s">
        <v>73</v>
      </c>
      <c r="AL14" s="64">
        <f>IF(V13+V14+V15+V16+V17+V20*Assumptions!F20=0,"n.a.",V13+V14+V15+V16+V17+V20*Assumptions!F20)</f>
        <v>5675</v>
      </c>
      <c r="AM14" s="64">
        <f>IF(AB14+AB15+AB16+AB17+AB20*Assumptions!F20=0,"n.a.",AB14+AB15+AB16+AB17+AB20*Assumptions!F20)</f>
        <v>160470</v>
      </c>
      <c r="AN14" s="65">
        <f>IF(AF14+AF15+AF16+AF17+AF20*Assumptions!F20=0,"n.a.",AF14+AF15+AF16+AF17+AF20*Assumptions!F20)</f>
        <v>6763178</v>
      </c>
      <c r="AO14" s="66">
        <f>SUM(AL14:AN14)</f>
        <v>6929323</v>
      </c>
      <c r="AP14" s="67">
        <f>AO14/$AO$19</f>
        <v>0.47977143268801553</v>
      </c>
      <c r="AQ14" s="57"/>
    </row>
    <row r="15" spans="3:43" ht="38.25" customHeight="1" thickBot="1">
      <c r="C15" s="51" t="s">
        <v>74</v>
      </c>
      <c r="D15" s="5"/>
      <c r="E15" s="1391"/>
      <c r="F15" s="61" t="s">
        <v>75</v>
      </c>
      <c r="G15" s="80" t="s">
        <v>119</v>
      </c>
      <c r="H15" s="188">
        <v>0</v>
      </c>
      <c r="I15" s="189">
        <v>0</v>
      </c>
      <c r="J15" s="190">
        <v>0</v>
      </c>
      <c r="K15" s="191">
        <v>0</v>
      </c>
      <c r="L15" s="220"/>
      <c r="M15" s="197"/>
      <c r="N15" s="197"/>
      <c r="O15" s="199"/>
      <c r="P15" s="199"/>
      <c r="Q15" s="199"/>
      <c r="R15" s="223"/>
      <c r="S15" s="193"/>
      <c r="T15" s="192"/>
      <c r="U15" s="194"/>
      <c r="V15" s="518">
        <v>0</v>
      </c>
      <c r="W15" s="193"/>
      <c r="X15" s="193"/>
      <c r="Y15" s="224">
        <v>0</v>
      </c>
      <c r="Z15" s="195"/>
      <c r="AA15" s="196"/>
      <c r="AB15" s="521">
        <v>0</v>
      </c>
      <c r="AC15" s="192"/>
      <c r="AD15" s="192"/>
      <c r="AE15" s="194"/>
      <c r="AF15" s="521"/>
      <c r="AG15" s="31"/>
      <c r="AH15" s="51" t="s">
        <v>74</v>
      </c>
      <c r="AK15" s="63" t="s">
        <v>76</v>
      </c>
      <c r="AL15" s="68">
        <f>IF(V18+V19+(V23*Assumptions!F9)+(V24*Assumptions!F6)+(V22*Assumptions!F16)+V25=0,"n.a.",V18+V19+(V23*Assumptions!F9)+(V24*Assumptions!F6)+(V22*Assumptions!F16)+V25)</f>
        <v>1556622.462830482</v>
      </c>
      <c r="AM15" s="68">
        <f>IF(AB18+AB19+AB23+(AB24*Assumptions!F6)+(AB25)+(AB22*Assumptions!F16)=0,"n.a.",AB18+AB19+AB23+(AB24*Assumptions!F9)+(AB25)+(AB22*Assumptions!F16))</f>
        <v>3694214.6</v>
      </c>
      <c r="AN15" s="69">
        <f>IF(AF18+AF19+(AF23*Assumptions!F9)+(AF24*Assumptions!F6)+AF22*Assumptions!F16=0,"n.a.",AF18+AF19+(AF23*Assumptions!F9)+(AF24*Assumptions!F6)+AF22*Assumptions!F16)</f>
        <v>1774557</v>
      </c>
      <c r="AO15" s="66">
        <f>SUM(AL15:AN15)</f>
        <v>7025394.062830482</v>
      </c>
      <c r="AP15" s="67">
        <f>AO15/$AO$19</f>
        <v>0.4864231866117453</v>
      </c>
      <c r="AQ15" s="57"/>
    </row>
    <row r="16" spans="3:43" ht="38.25" customHeight="1" thickBot="1">
      <c r="C16" s="60" t="s">
        <v>77</v>
      </c>
      <c r="D16" s="5"/>
      <c r="E16" s="1391"/>
      <c r="F16" s="61" t="s">
        <v>78</v>
      </c>
      <c r="G16" s="80" t="s">
        <v>119</v>
      </c>
      <c r="H16" s="188">
        <v>4719919</v>
      </c>
      <c r="I16" s="189">
        <v>0</v>
      </c>
      <c r="J16" s="190">
        <v>0</v>
      </c>
      <c r="K16" s="191">
        <v>4719919</v>
      </c>
      <c r="L16" s="220"/>
      <c r="M16" s="197"/>
      <c r="N16" s="197"/>
      <c r="O16" s="199"/>
      <c r="P16" s="199"/>
      <c r="Q16" s="199"/>
      <c r="R16" s="223"/>
      <c r="S16" s="193"/>
      <c r="T16" s="192"/>
      <c r="U16" s="194"/>
      <c r="V16" s="518">
        <v>0</v>
      </c>
      <c r="W16" s="193"/>
      <c r="X16" s="193"/>
      <c r="Y16" s="224">
        <v>0</v>
      </c>
      <c r="Z16" s="195"/>
      <c r="AA16" s="196"/>
      <c r="AB16" s="521">
        <v>0</v>
      </c>
      <c r="AC16" s="192"/>
      <c r="AD16" s="192"/>
      <c r="AE16" s="194"/>
      <c r="AF16" s="521"/>
      <c r="AG16" s="31"/>
      <c r="AH16" s="60" t="s">
        <v>77</v>
      </c>
      <c r="AK16" s="430" t="s">
        <v>79</v>
      </c>
      <c r="AL16" s="70">
        <f>IF(V21*Assumptions!F20=0,"n.a.",V21*Assumptions!F20)</f>
        <v>488250</v>
      </c>
      <c r="AM16" s="70" t="str">
        <f>IF(AB21*Assumptions!F20=0,"n.a.",AB21*Assumptions!F20)</f>
        <v>n.a.</v>
      </c>
      <c r="AN16" s="71" t="str">
        <f>IF(AF21*Assumptions!F20=0,"n.a.",AF21*Assumptions!F20)</f>
        <v>n.a.</v>
      </c>
      <c r="AO16" s="72">
        <f>SUM(AL16:AN16)</f>
        <v>488250</v>
      </c>
      <c r="AP16" s="67">
        <f>AO16/$AO$19</f>
        <v>0.033805380700239196</v>
      </c>
      <c r="AQ16" s="73"/>
    </row>
    <row r="17" spans="3:43" ht="38.25" customHeight="1" thickBot="1" thickTop="1">
      <c r="C17" s="51" t="s">
        <v>80</v>
      </c>
      <c r="D17" s="5"/>
      <c r="E17" s="1391"/>
      <c r="F17" s="61" t="s">
        <v>81</v>
      </c>
      <c r="G17" s="80" t="s">
        <v>119</v>
      </c>
      <c r="H17" s="188">
        <v>0</v>
      </c>
      <c r="I17" s="189">
        <v>0</v>
      </c>
      <c r="J17" s="190">
        <v>0</v>
      </c>
      <c r="K17" s="191">
        <v>0</v>
      </c>
      <c r="L17" s="220"/>
      <c r="M17" s="197"/>
      <c r="N17" s="197"/>
      <c r="O17" s="199"/>
      <c r="P17" s="199"/>
      <c r="Q17" s="199"/>
      <c r="R17" s="223"/>
      <c r="S17" s="193"/>
      <c r="T17" s="192"/>
      <c r="U17" s="194"/>
      <c r="V17" s="518">
        <v>0</v>
      </c>
      <c r="W17" s="193"/>
      <c r="X17" s="193"/>
      <c r="Y17" s="224">
        <v>0</v>
      </c>
      <c r="Z17" s="195"/>
      <c r="AA17" s="196"/>
      <c r="AB17" s="521">
        <v>0</v>
      </c>
      <c r="AC17" s="192"/>
      <c r="AD17" s="192"/>
      <c r="AE17" s="194"/>
      <c r="AF17" s="521"/>
      <c r="AG17" s="31"/>
      <c r="AH17" s="51" t="s">
        <v>80</v>
      </c>
      <c r="AK17" s="431" t="s">
        <v>354</v>
      </c>
      <c r="AL17" s="74">
        <f>SUM(AL14:AL16)</f>
        <v>2050547.462830482</v>
      </c>
      <c r="AM17" s="75">
        <f>SUM(AM14:AM16)</f>
        <v>3854684.6</v>
      </c>
      <c r="AN17" s="75">
        <f>SUM(AN14:AN16)</f>
        <v>8537735</v>
      </c>
      <c r="AO17" s="1443"/>
      <c r="AP17" s="1444"/>
      <c r="AQ17" s="76">
        <f>SUM(AL17:AN17)</f>
        <v>14442967.062830482</v>
      </c>
    </row>
    <row r="18" spans="3:43" ht="38.25" customHeight="1" thickBot="1" thickTop="1">
      <c r="C18" s="60" t="s">
        <v>82</v>
      </c>
      <c r="D18" s="5"/>
      <c r="E18" s="1391"/>
      <c r="F18" s="61" t="s">
        <v>83</v>
      </c>
      <c r="G18" s="80" t="s">
        <v>119</v>
      </c>
      <c r="H18" s="188">
        <v>384198</v>
      </c>
      <c r="I18" s="189">
        <v>0</v>
      </c>
      <c r="J18" s="190">
        <v>0</v>
      </c>
      <c r="K18" s="191">
        <v>384198</v>
      </c>
      <c r="L18" s="220"/>
      <c r="M18" s="197"/>
      <c r="N18" s="197"/>
      <c r="O18" s="199"/>
      <c r="P18" s="199"/>
      <c r="Q18" s="199"/>
      <c r="R18" s="223"/>
      <c r="S18" s="193">
        <v>384198</v>
      </c>
      <c r="T18" s="192"/>
      <c r="U18" s="194"/>
      <c r="V18" s="525">
        <v>384198</v>
      </c>
      <c r="W18" s="193">
        <v>3891</v>
      </c>
      <c r="X18" s="193"/>
      <c r="Y18" s="224">
        <v>92934</v>
      </c>
      <c r="Z18" s="195"/>
      <c r="AA18" s="196"/>
      <c r="AB18" s="527">
        <v>0</v>
      </c>
      <c r="AC18" s="192"/>
      <c r="AD18" s="192"/>
      <c r="AE18" s="194"/>
      <c r="AF18" s="527">
        <v>0</v>
      </c>
      <c r="AG18" s="31"/>
      <c r="AH18" s="60" t="s">
        <v>82</v>
      </c>
      <c r="AK18" s="431" t="s">
        <v>70</v>
      </c>
      <c r="AL18" s="78">
        <f>AL17/$AQ$17</f>
        <v>0.1419754994877502</v>
      </c>
      <c r="AM18" s="78">
        <f>AM17/$AQ$17</f>
        <v>0.2668900775880169</v>
      </c>
      <c r="AN18" s="78">
        <f>AN17/$AQ$17</f>
        <v>0.5911344229242329</v>
      </c>
      <c r="AO18" s="1445"/>
      <c r="AP18" s="1446"/>
      <c r="AQ18" s="57"/>
    </row>
    <row r="19" spans="3:43" ht="38.25" customHeight="1" thickBot="1">
      <c r="C19" s="51" t="s">
        <v>84</v>
      </c>
      <c r="D19" s="5"/>
      <c r="E19" s="1391"/>
      <c r="F19" s="61" t="s">
        <v>409</v>
      </c>
      <c r="G19" s="80" t="s">
        <v>119</v>
      </c>
      <c r="H19" s="198">
        <v>1684336</v>
      </c>
      <c r="I19" s="189">
        <v>0</v>
      </c>
      <c r="J19" s="190">
        <v>0</v>
      </c>
      <c r="K19" s="191">
        <v>1684336</v>
      </c>
      <c r="L19" s="220"/>
      <c r="M19" s="197"/>
      <c r="N19" s="197"/>
      <c r="O19" s="199"/>
      <c r="P19" s="199"/>
      <c r="Q19" s="199"/>
      <c r="R19" s="223"/>
      <c r="S19" s="193">
        <v>316981</v>
      </c>
      <c r="T19" s="192">
        <v>52845</v>
      </c>
      <c r="U19" s="194">
        <v>109420</v>
      </c>
      <c r="V19" s="525">
        <v>479246</v>
      </c>
      <c r="W19" s="193">
        <v>2286</v>
      </c>
      <c r="X19" s="193">
        <v>60</v>
      </c>
      <c r="Y19" s="224">
        <v>59735</v>
      </c>
      <c r="Z19" s="195">
        <v>637814</v>
      </c>
      <c r="AA19" s="196">
        <v>40325</v>
      </c>
      <c r="AB19" s="527">
        <v>678139</v>
      </c>
      <c r="AC19" s="192"/>
      <c r="AD19" s="192"/>
      <c r="AE19" s="194"/>
      <c r="AF19" s="528">
        <v>526951</v>
      </c>
      <c r="AG19" s="31"/>
      <c r="AH19" s="51" t="s">
        <v>84</v>
      </c>
      <c r="AK19" s="1447"/>
      <c r="AL19" s="1447"/>
      <c r="AM19" s="1447"/>
      <c r="AN19" s="1448"/>
      <c r="AO19" s="79">
        <f>SUM(AO14:AO16)</f>
        <v>14442967.062830482</v>
      </c>
      <c r="AP19" s="1449"/>
      <c r="AQ19" s="1447"/>
    </row>
    <row r="20" spans="3:43" ht="28.5" customHeight="1" thickBot="1">
      <c r="C20" s="60" t="s">
        <v>85</v>
      </c>
      <c r="D20" s="5"/>
      <c r="E20" s="1391"/>
      <c r="F20" s="61" t="s">
        <v>86</v>
      </c>
      <c r="G20" s="80" t="s">
        <v>87</v>
      </c>
      <c r="H20" s="198">
        <v>0</v>
      </c>
      <c r="I20" s="189">
        <v>0</v>
      </c>
      <c r="J20" s="190">
        <v>0</v>
      </c>
      <c r="K20" s="191">
        <v>0</v>
      </c>
      <c r="L20" s="220"/>
      <c r="M20" s="197"/>
      <c r="N20" s="197"/>
      <c r="O20" s="199"/>
      <c r="P20" s="199"/>
      <c r="Q20" s="199"/>
      <c r="R20" s="223"/>
      <c r="S20" s="226"/>
      <c r="T20" s="227"/>
      <c r="U20" s="228"/>
      <c r="V20" s="518">
        <v>0</v>
      </c>
      <c r="W20" s="226"/>
      <c r="X20" s="226"/>
      <c r="Y20" s="224">
        <v>0</v>
      </c>
      <c r="Z20" s="200"/>
      <c r="AA20" s="201"/>
      <c r="AB20" s="521">
        <v>0</v>
      </c>
      <c r="AC20" s="227"/>
      <c r="AD20" s="227"/>
      <c r="AE20" s="201"/>
      <c r="AF20" s="522">
        <v>0</v>
      </c>
      <c r="AG20" s="31"/>
      <c r="AH20" s="60" t="s">
        <v>85</v>
      </c>
      <c r="AK20" s="57"/>
      <c r="AL20" s="545"/>
      <c r="AM20" s="57"/>
      <c r="AN20" s="57"/>
      <c r="AO20" s="82"/>
      <c r="AP20" s="81"/>
      <c r="AQ20" s="57"/>
    </row>
    <row r="21" spans="3:43" ht="28.5" customHeight="1" thickBot="1">
      <c r="C21" s="51" t="s">
        <v>88</v>
      </c>
      <c r="D21" s="5"/>
      <c r="E21" s="1391"/>
      <c r="F21" s="83" t="s">
        <v>89</v>
      </c>
      <c r="G21" s="84" t="s">
        <v>87</v>
      </c>
      <c r="H21" s="202">
        <v>775000</v>
      </c>
      <c r="I21" s="203">
        <v>0</v>
      </c>
      <c r="J21" s="204">
        <v>0</v>
      </c>
      <c r="K21" s="191">
        <v>13493</v>
      </c>
      <c r="L21" s="220"/>
      <c r="M21" s="229"/>
      <c r="N21" s="229"/>
      <c r="O21" s="230"/>
      <c r="P21" s="230"/>
      <c r="Q21" s="230"/>
      <c r="R21" s="231"/>
      <c r="S21" s="193"/>
      <c r="T21" s="192"/>
      <c r="U21" s="194"/>
      <c r="V21" s="515">
        <v>325500</v>
      </c>
      <c r="W21" s="193"/>
      <c r="X21" s="193"/>
      <c r="Y21" s="224">
        <v>0</v>
      </c>
      <c r="Z21" s="195"/>
      <c r="AA21" s="196"/>
      <c r="AB21" s="531">
        <v>0</v>
      </c>
      <c r="AC21" s="192"/>
      <c r="AD21" s="192"/>
      <c r="AE21" s="194"/>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80" t="s">
        <v>120</v>
      </c>
      <c r="H22" s="188">
        <v>3725315</v>
      </c>
      <c r="I22" s="189">
        <v>0</v>
      </c>
      <c r="J22" s="190">
        <v>0</v>
      </c>
      <c r="K22" s="191">
        <v>3725315</v>
      </c>
      <c r="L22" s="220"/>
      <c r="M22" s="197"/>
      <c r="N22" s="221"/>
      <c r="O22" s="199"/>
      <c r="P22" s="199"/>
      <c r="Q22" s="221"/>
      <c r="R22" s="231"/>
      <c r="S22" s="193">
        <v>618535</v>
      </c>
      <c r="T22" s="192">
        <v>242795</v>
      </c>
      <c r="U22" s="194">
        <v>328737</v>
      </c>
      <c r="V22" s="525">
        <v>1190066</v>
      </c>
      <c r="W22" s="193">
        <v>1871</v>
      </c>
      <c r="X22" s="193">
        <v>120</v>
      </c>
      <c r="Y22" s="224">
        <v>54961</v>
      </c>
      <c r="Z22" s="195">
        <v>1977765</v>
      </c>
      <c r="AA22" s="196">
        <v>557483</v>
      </c>
      <c r="AB22" s="527">
        <v>2535248</v>
      </c>
      <c r="AC22" s="192"/>
      <c r="AD22" s="192"/>
      <c r="AE22" s="194"/>
      <c r="AF22" s="527"/>
      <c r="AG22" s="31"/>
      <c r="AH22" s="60" t="s">
        <v>90</v>
      </c>
      <c r="AK22" s="57"/>
      <c r="AL22" s="96" t="s">
        <v>349</v>
      </c>
      <c r="AM22" s="97"/>
      <c r="AN22" s="98">
        <f>(K13+K14+K20)</f>
        <v>23043707</v>
      </c>
      <c r="AO22" s="99">
        <v>1</v>
      </c>
      <c r="AP22" s="81"/>
      <c r="AQ22" s="57"/>
    </row>
    <row r="23" spans="3:41" ht="28.5" customHeight="1" thickBot="1">
      <c r="C23" s="51" t="s">
        <v>94</v>
      </c>
      <c r="D23" s="5"/>
      <c r="E23" s="1391"/>
      <c r="F23" s="61" t="s">
        <v>95</v>
      </c>
      <c r="G23" s="80" t="s">
        <v>99</v>
      </c>
      <c r="H23" s="188">
        <v>0</v>
      </c>
      <c r="I23" s="189">
        <v>0</v>
      </c>
      <c r="J23" s="190">
        <v>0</v>
      </c>
      <c r="K23" s="191">
        <v>0</v>
      </c>
      <c r="L23" s="220"/>
      <c r="M23" s="221"/>
      <c r="N23" s="221"/>
      <c r="O23" s="221"/>
      <c r="P23" s="221"/>
      <c r="Q23" s="221"/>
      <c r="R23" s="222"/>
      <c r="S23" s="205"/>
      <c r="T23" s="192"/>
      <c r="U23" s="194"/>
      <c r="V23" s="525">
        <v>0</v>
      </c>
      <c r="W23" s="193"/>
      <c r="X23" s="193"/>
      <c r="Y23" s="224">
        <v>0</v>
      </c>
      <c r="Z23" s="195"/>
      <c r="AA23" s="196"/>
      <c r="AB23" s="527">
        <v>0</v>
      </c>
      <c r="AC23" s="192"/>
      <c r="AD23" s="192"/>
      <c r="AE23" s="194"/>
      <c r="AF23" s="527"/>
      <c r="AG23" s="31"/>
      <c r="AH23" s="51" t="s">
        <v>94</v>
      </c>
      <c r="AL23" s="96" t="s">
        <v>93</v>
      </c>
      <c r="AM23" s="97"/>
      <c r="AN23" s="100">
        <f>AQ17</f>
        <v>14442967.062830482</v>
      </c>
      <c r="AO23" s="101">
        <f>AN23/AN22</f>
        <v>0.6267640472442425</v>
      </c>
    </row>
    <row r="24" spans="3:41" ht="28.5" customHeight="1" thickBot="1">
      <c r="C24" s="60" t="s">
        <v>97</v>
      </c>
      <c r="D24" s="5"/>
      <c r="E24" s="1391"/>
      <c r="F24" s="61" t="s">
        <v>342</v>
      </c>
      <c r="G24" s="102" t="s">
        <v>99</v>
      </c>
      <c r="H24" s="188">
        <v>1212480</v>
      </c>
      <c r="I24" s="189">
        <v>399106</v>
      </c>
      <c r="J24" s="190">
        <v>880487</v>
      </c>
      <c r="K24" s="191">
        <v>731099</v>
      </c>
      <c r="L24" s="220"/>
      <c r="M24" s="221"/>
      <c r="N24" s="221"/>
      <c r="O24" s="221"/>
      <c r="P24" s="221"/>
      <c r="Q24" s="221"/>
      <c r="R24" s="222"/>
      <c r="S24" s="205">
        <v>924</v>
      </c>
      <c r="T24" s="192"/>
      <c r="U24" s="194"/>
      <c r="V24" s="525">
        <v>924</v>
      </c>
      <c r="W24" s="193">
        <v>10</v>
      </c>
      <c r="X24" s="193"/>
      <c r="Y24" s="224">
        <v>245</v>
      </c>
      <c r="Z24" s="195">
        <v>55410</v>
      </c>
      <c r="AA24" s="196">
        <v>50959</v>
      </c>
      <c r="AB24" s="527">
        <v>106369</v>
      </c>
      <c r="AC24" s="192">
        <v>266303</v>
      </c>
      <c r="AD24" s="192">
        <v>181245</v>
      </c>
      <c r="AE24" s="194">
        <v>176255</v>
      </c>
      <c r="AF24" s="527">
        <v>623803</v>
      </c>
      <c r="AG24" s="31"/>
      <c r="AH24" s="60" t="s">
        <v>97</v>
      </c>
      <c r="AL24" s="96" t="s">
        <v>551</v>
      </c>
      <c r="AM24" s="97"/>
      <c r="AN24" s="98"/>
      <c r="AO24" s="99">
        <f>AO14/AN23</f>
        <v>0.47977143268801553</v>
      </c>
    </row>
    <row r="25" spans="3:41" ht="28.5" customHeight="1" thickBot="1">
      <c r="C25" s="104" t="s">
        <v>100</v>
      </c>
      <c r="D25" s="5"/>
      <c r="E25" s="1392"/>
      <c r="F25" s="105" t="s">
        <v>101</v>
      </c>
      <c r="G25" s="249" t="s">
        <v>121</v>
      </c>
      <c r="H25" s="232"/>
      <c r="I25" s="232"/>
      <c r="J25" s="233"/>
      <c r="K25" s="206">
        <v>0</v>
      </c>
      <c r="L25" s="232"/>
      <c r="M25" s="234"/>
      <c r="N25" s="234"/>
      <c r="O25" s="234"/>
      <c r="P25" s="234"/>
      <c r="Q25" s="234"/>
      <c r="R25" s="233"/>
      <c r="S25" s="232"/>
      <c r="T25" s="234"/>
      <c r="U25" s="233"/>
      <c r="V25" s="525">
        <f>(Y25/Assumptions!F30)*Assumptions!F20</f>
        <v>453317.2628304821</v>
      </c>
      <c r="W25" s="235">
        <v>49</v>
      </c>
      <c r="X25" s="236">
        <v>1116</v>
      </c>
      <c r="Y25" s="224">
        <v>97161</v>
      </c>
      <c r="Z25" s="237">
        <v>1869184</v>
      </c>
      <c r="AA25" s="238">
        <v>1628</v>
      </c>
      <c r="AB25" s="527">
        <v>1870812</v>
      </c>
      <c r="AC25" s="232"/>
      <c r="AD25" s="234"/>
      <c r="AE25" s="239"/>
      <c r="AF25" s="240"/>
      <c r="AG25" s="31"/>
      <c r="AH25" s="104" t="s">
        <v>100</v>
      </c>
      <c r="AL25" s="96" t="s">
        <v>552</v>
      </c>
      <c r="AM25" s="103"/>
      <c r="AN25" s="98">
        <f>IF(AB25+V25=0,"n.a.",AB25+V25)</f>
        <v>2324129.262830482</v>
      </c>
      <c r="AO25" s="99">
        <f>IF(AN25/AN23=0,"n.a.",AN25/AN23)</f>
        <v>0.1609177153641592</v>
      </c>
    </row>
    <row r="26" spans="3:43" s="108" customFormat="1" ht="28.5" customHeight="1" thickBot="1">
      <c r="C26" s="104" t="s">
        <v>103</v>
      </c>
      <c r="D26" s="109"/>
      <c r="E26" s="110"/>
      <c r="F26" s="111"/>
      <c r="G26" s="112"/>
      <c r="H26" s="207"/>
      <c r="I26" s="207"/>
      <c r="J26" s="207"/>
      <c r="K26" s="207"/>
      <c r="L26" s="241"/>
      <c r="M26" s="241"/>
      <c r="N26" s="241"/>
      <c r="O26" s="241"/>
      <c r="P26" s="241"/>
      <c r="Q26" s="242"/>
      <c r="R26" s="243" t="s">
        <v>104</v>
      </c>
      <c r="S26" s="208"/>
      <c r="T26" s="208"/>
      <c r="U26" s="208"/>
      <c r="V26" s="209"/>
      <c r="W26" s="208">
        <v>8156</v>
      </c>
      <c r="X26" s="244">
        <v>1296</v>
      </c>
      <c r="Y26" s="122">
        <v>306208</v>
      </c>
      <c r="Z26" s="245"/>
      <c r="AA26" s="246"/>
      <c r="AB26" s="247"/>
      <c r="AC26" s="245"/>
      <c r="AD26" s="248"/>
      <c r="AE26" s="246"/>
      <c r="AF26" s="247"/>
      <c r="AG26" s="127"/>
      <c r="AH26" s="104" t="s">
        <v>103</v>
      </c>
      <c r="AJ26" s="1"/>
      <c r="AK26" s="1"/>
      <c r="AL26" s="96" t="s">
        <v>102</v>
      </c>
      <c r="AM26" s="97"/>
      <c r="AN26" s="107">
        <f>AO14/AL9</f>
        <v>0.8457737694193007</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3">
        <f>VLOOKUP(AC2,'JFSQ p70'!6:58,11,FALSE)*1000</f>
        <v>1273380</v>
      </c>
      <c r="AC27" s="134"/>
      <c r="AD27" s="5"/>
      <c r="AE27" s="5"/>
      <c r="AF27" s="135"/>
      <c r="AG27" s="31"/>
      <c r="AH27" s="136"/>
      <c r="AL27" s="96" t="s">
        <v>105</v>
      </c>
      <c r="AM27" s="103"/>
      <c r="AN27" s="107">
        <f>((AN23/Assumptions!F20)*Assumptions!F30/1000000)</f>
        <v>3.0956092738</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490</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10445.76</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0.24870857142857145</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80" r:id="rId2"/>
  <drawing r:id="rId1"/>
</worksheet>
</file>

<file path=xl/worksheets/sheet13.xml><?xml version="1.0" encoding="utf-8"?>
<worksheet xmlns="http://schemas.openxmlformats.org/spreadsheetml/2006/main" xmlns:r="http://schemas.openxmlformats.org/officeDocument/2006/relationships">
  <sheetPr codeName="Tabelle6">
    <tabColor indexed="11"/>
  </sheetPr>
  <dimension ref="C1:AS95"/>
  <sheetViews>
    <sheetView zoomScale="75" zoomScaleNormal="75" zoomScaleSheetLayoutView="100" workbookViewId="0" topLeftCell="AE7">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8.4218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11.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238</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Czech Republic</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10235455</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0.7756372335181972</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14285000</v>
      </c>
      <c r="I13" s="251">
        <v>1147000</v>
      </c>
      <c r="J13" s="251">
        <v>2942000</v>
      </c>
      <c r="K13" s="252">
        <v>12490000</v>
      </c>
      <c r="L13" s="185">
        <v>7120000</v>
      </c>
      <c r="M13" s="186"/>
      <c r="N13" s="186">
        <v>5261000</v>
      </c>
      <c r="O13" s="187">
        <v>109000</v>
      </c>
      <c r="P13" s="253"/>
      <c r="Q13" s="187"/>
      <c r="R13" s="186"/>
      <c r="S13" s="229"/>
      <c r="T13" s="229"/>
      <c r="U13" s="229"/>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1225000</v>
      </c>
      <c r="I14" s="251">
        <v>15000</v>
      </c>
      <c r="J14" s="251">
        <v>274000</v>
      </c>
      <c r="K14" s="255">
        <v>966000</v>
      </c>
      <c r="L14" s="220"/>
      <c r="M14" s="221"/>
      <c r="N14" s="221"/>
      <c r="O14" s="222"/>
      <c r="P14" s="256"/>
      <c r="Q14" s="192"/>
      <c r="R14" s="192"/>
      <c r="S14" s="229"/>
      <c r="T14" s="229"/>
      <c r="U14" s="229"/>
      <c r="V14" s="520">
        <v>0</v>
      </c>
      <c r="W14" s="193"/>
      <c r="X14" s="193"/>
      <c r="Y14" s="224"/>
      <c r="Z14" s="225">
        <v>20000</v>
      </c>
      <c r="AA14" s="196">
        <v>56000</v>
      </c>
      <c r="AB14" s="522">
        <v>76000</v>
      </c>
      <c r="AC14" s="192">
        <v>858000</v>
      </c>
      <c r="AD14" s="192">
        <v>13000</v>
      </c>
      <c r="AE14" s="194">
        <v>19000</v>
      </c>
      <c r="AF14" s="522">
        <v>890000</v>
      </c>
      <c r="AG14" s="31"/>
      <c r="AH14" s="60" t="s">
        <v>71</v>
      </c>
      <c r="AK14" s="63" t="s">
        <v>73</v>
      </c>
      <c r="AL14" s="64" t="str">
        <f>IF(V13+V14+V15+V16+V17+V20*Assumptions!F20=0,"n.a.",V13+V14+V15+V16+V17+V20*Assumptions!F20)</f>
        <v>n.a.</v>
      </c>
      <c r="AM14" s="64">
        <f>IF(AB14+AB15+AB16+AB17+AB20*Assumptions!F20=0,"n.a.",AB14+AB15+AB16+AB17+AB20*Assumptions!F20)</f>
        <v>76000</v>
      </c>
      <c r="AN14" s="65">
        <f>IF(AF14+AF15+AF16+AF17+AF20*Assumptions!F20=0,"n.a.",AF14+AF15+AF16+AF17+AF20*Assumptions!F20)</f>
        <v>4960000</v>
      </c>
      <c r="AO14" s="66">
        <f>SUM(AL14:AN14)</f>
        <v>5036000</v>
      </c>
      <c r="AP14" s="67">
        <f>AO14/$AO$19</f>
        <v>0.634336818239073</v>
      </c>
      <c r="AQ14" s="57"/>
    </row>
    <row r="15" spans="3:43" ht="38.25" customHeight="1" thickBot="1">
      <c r="C15" s="51" t="s">
        <v>74</v>
      </c>
      <c r="D15" s="5"/>
      <c r="E15" s="1391"/>
      <c r="F15" s="61" t="s">
        <v>75</v>
      </c>
      <c r="G15" s="102" t="s">
        <v>119</v>
      </c>
      <c r="H15" s="257">
        <v>1365000</v>
      </c>
      <c r="I15" s="257"/>
      <c r="J15" s="257"/>
      <c r="K15" s="255">
        <v>1365000</v>
      </c>
      <c r="L15" s="220"/>
      <c r="M15" s="197"/>
      <c r="N15" s="197"/>
      <c r="O15" s="197"/>
      <c r="P15" s="192"/>
      <c r="Q15" s="192"/>
      <c r="R15" s="192"/>
      <c r="S15" s="229"/>
      <c r="T15" s="229"/>
      <c r="U15" s="229"/>
      <c r="V15" s="520">
        <v>0</v>
      </c>
      <c r="W15" s="193"/>
      <c r="X15" s="193"/>
      <c r="Y15" s="224">
        <v>0</v>
      </c>
      <c r="Z15" s="225"/>
      <c r="AA15" s="196"/>
      <c r="AB15" s="522">
        <v>0</v>
      </c>
      <c r="AC15" s="192">
        <v>1365000</v>
      </c>
      <c r="AD15" s="192"/>
      <c r="AE15" s="194"/>
      <c r="AF15" s="522">
        <v>1365000</v>
      </c>
      <c r="AG15" s="31"/>
      <c r="AH15" s="51" t="s">
        <v>74</v>
      </c>
      <c r="AK15" s="63" t="s">
        <v>76</v>
      </c>
      <c r="AL15" s="68">
        <f>IF(V18+V19+(V23*Assumptions!F9)+(V24*Assumptions!F6)+(V22*Assumptions!F16)+V25=0,"n.a.",V18+V19+(V23*Assumptions!F9)+(V24*Assumptions!F6)+(V22*Assumptions!F16)+V25)</f>
        <v>537879.9129082425</v>
      </c>
      <c r="AM15" s="68">
        <f>IF(AB18+AB19+AB23+(AB24*6)+(AB25)+(AB22*Assumptions!F16)=0,"n.a.",AB18+AB19+(AB23*Assumptions!F9)+(AB24*Assumptions!F6)+(AB25)+(AB22*Assumptions!F16))</f>
        <v>2194120.0870917575</v>
      </c>
      <c r="AN15" s="69">
        <f>IF(AF18+AF19+(AF23*Assumptions!F9)+(AF24*Assumptions!F6)+(AF22*Assumptions!F16)=0,"n.a.",AF18+AF19+(AF23*Assumptions!F9)+(AF24*Assumptions!F6)+(AF22*Assumptions!F16))</f>
        <v>171000</v>
      </c>
      <c r="AO15" s="66">
        <f>SUM(AL15:AN15)</f>
        <v>2903000</v>
      </c>
      <c r="AP15" s="67">
        <f>AO15/$AO$19</f>
        <v>0.36566318176092705</v>
      </c>
      <c r="AQ15" s="57"/>
    </row>
    <row r="16" spans="3:43" ht="38.25" customHeight="1" thickBot="1">
      <c r="C16" s="60" t="s">
        <v>77</v>
      </c>
      <c r="D16" s="5"/>
      <c r="E16" s="1391"/>
      <c r="F16" s="61" t="s">
        <v>78</v>
      </c>
      <c r="G16" s="102" t="s">
        <v>119</v>
      </c>
      <c r="H16" s="251">
        <v>155000</v>
      </c>
      <c r="I16" s="251"/>
      <c r="J16" s="251"/>
      <c r="K16" s="255">
        <v>155000</v>
      </c>
      <c r="L16" s="220"/>
      <c r="M16" s="197"/>
      <c r="N16" s="197"/>
      <c r="O16" s="197"/>
      <c r="P16" s="192"/>
      <c r="Q16" s="192"/>
      <c r="R16" s="192"/>
      <c r="S16" s="229"/>
      <c r="T16" s="229"/>
      <c r="U16" s="229"/>
      <c r="V16" s="520">
        <v>0</v>
      </c>
      <c r="W16" s="193"/>
      <c r="X16" s="193"/>
      <c r="Y16" s="224">
        <v>0</v>
      </c>
      <c r="Z16" s="225"/>
      <c r="AA16" s="196"/>
      <c r="AB16" s="523">
        <v>0</v>
      </c>
      <c r="AC16" s="192">
        <v>155000</v>
      </c>
      <c r="AD16" s="192"/>
      <c r="AE16" s="194"/>
      <c r="AF16" s="522">
        <v>155000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102" t="s">
        <v>119</v>
      </c>
      <c r="H17" s="258">
        <v>0</v>
      </c>
      <c r="I17" s="258"/>
      <c r="J17" s="258"/>
      <c r="K17" s="255">
        <v>0</v>
      </c>
      <c r="L17" s="220"/>
      <c r="M17" s="197"/>
      <c r="N17" s="197"/>
      <c r="O17" s="197"/>
      <c r="P17" s="192"/>
      <c r="Q17" s="192"/>
      <c r="R17" s="192"/>
      <c r="S17" s="229"/>
      <c r="T17" s="229"/>
      <c r="U17" s="229"/>
      <c r="V17" s="520">
        <v>0</v>
      </c>
      <c r="W17" s="193"/>
      <c r="X17" s="193"/>
      <c r="Y17" s="224">
        <v>0</v>
      </c>
      <c r="Z17" s="225"/>
      <c r="AA17" s="196"/>
      <c r="AB17" s="522">
        <v>0</v>
      </c>
      <c r="AC17" s="192"/>
      <c r="AD17" s="192"/>
      <c r="AE17" s="194"/>
      <c r="AF17" s="522">
        <v>0</v>
      </c>
      <c r="AG17" s="31"/>
      <c r="AH17" s="51" t="s">
        <v>80</v>
      </c>
      <c r="AK17" s="431" t="s">
        <v>354</v>
      </c>
      <c r="AL17" s="74">
        <f>SUM(AL14:AL16)</f>
        <v>537879.9129082425</v>
      </c>
      <c r="AM17" s="75">
        <f>SUM(AM14:AM16)</f>
        <v>2270120.0870917575</v>
      </c>
      <c r="AN17" s="75">
        <f>SUM(AN14:AN16)</f>
        <v>5131000</v>
      </c>
      <c r="AO17" s="1443"/>
      <c r="AP17" s="1444"/>
      <c r="AQ17" s="76">
        <f>SUM(AL17:AN17)</f>
        <v>7939000</v>
      </c>
    </row>
    <row r="18" spans="3:43" ht="38.25" customHeight="1" thickBot="1" thickTop="1">
      <c r="C18" s="60" t="s">
        <v>82</v>
      </c>
      <c r="D18" s="5"/>
      <c r="E18" s="1391"/>
      <c r="F18" s="61" t="s">
        <v>83</v>
      </c>
      <c r="G18" s="102" t="s">
        <v>119</v>
      </c>
      <c r="H18" s="251">
        <v>2608000</v>
      </c>
      <c r="I18" s="251">
        <v>130000</v>
      </c>
      <c r="J18" s="251">
        <v>100000</v>
      </c>
      <c r="K18" s="255">
        <v>2638000</v>
      </c>
      <c r="L18" s="220"/>
      <c r="M18" s="197">
        <v>701000</v>
      </c>
      <c r="N18" s="197"/>
      <c r="O18" s="199"/>
      <c r="P18" s="192">
        <v>479000</v>
      </c>
      <c r="Q18" s="192"/>
      <c r="R18" s="192"/>
      <c r="S18" s="193">
        <v>39000</v>
      </c>
      <c r="T18" s="229">
        <v>248000</v>
      </c>
      <c r="U18" s="229">
        <v>93000</v>
      </c>
      <c r="V18" s="526">
        <v>380000</v>
      </c>
      <c r="W18" s="193">
        <v>701</v>
      </c>
      <c r="X18" s="193">
        <v>154</v>
      </c>
      <c r="Y18" s="224">
        <v>29984.22</v>
      </c>
      <c r="Z18" s="225">
        <v>41000</v>
      </c>
      <c r="AA18" s="196">
        <v>1328000</v>
      </c>
      <c r="AB18" s="528">
        <v>1369000</v>
      </c>
      <c r="AC18" s="192"/>
      <c r="AD18" s="192">
        <v>26000</v>
      </c>
      <c r="AE18" s="194">
        <v>63000</v>
      </c>
      <c r="AF18" s="528">
        <v>89000</v>
      </c>
      <c r="AG18" s="31"/>
      <c r="AH18" s="60" t="s">
        <v>82</v>
      </c>
      <c r="AK18" s="431" t="s">
        <v>70</v>
      </c>
      <c r="AL18" s="78">
        <f>AL17/$AQ$17</f>
        <v>0.06775159502560052</v>
      </c>
      <c r="AM18" s="78">
        <f>AM17/$AQ$17</f>
        <v>0.2859453441355029</v>
      </c>
      <c r="AN18" s="78">
        <f>AN17/$AQ$17</f>
        <v>0.6463030608388965</v>
      </c>
      <c r="AO18" s="1445"/>
      <c r="AP18" s="1446"/>
      <c r="AQ18" s="57"/>
    </row>
    <row r="19" spans="3:43" ht="38.25" customHeight="1" thickBot="1">
      <c r="C19" s="51" t="s">
        <v>84</v>
      </c>
      <c r="D19" s="5"/>
      <c r="E19" s="1391"/>
      <c r="F19" s="61" t="s">
        <v>409</v>
      </c>
      <c r="G19" s="102" t="s">
        <v>119</v>
      </c>
      <c r="H19" s="251">
        <v>1150000</v>
      </c>
      <c r="I19" s="251">
        <v>90000</v>
      </c>
      <c r="J19" s="251">
        <v>1010000</v>
      </c>
      <c r="K19" s="255">
        <v>230000</v>
      </c>
      <c r="L19" s="220"/>
      <c r="M19" s="197">
        <v>230000</v>
      </c>
      <c r="N19" s="197"/>
      <c r="O19" s="199"/>
      <c r="P19" s="192"/>
      <c r="Q19" s="192"/>
      <c r="R19" s="192"/>
      <c r="S19" s="229"/>
      <c r="T19" s="229"/>
      <c r="U19" s="229"/>
      <c r="V19" s="526">
        <v>0</v>
      </c>
      <c r="W19" s="193"/>
      <c r="X19" s="193"/>
      <c r="Y19" s="224"/>
      <c r="Z19" s="225"/>
      <c r="AA19" s="196"/>
      <c r="AB19" s="529"/>
      <c r="AC19" s="192"/>
      <c r="AD19" s="192"/>
      <c r="AE19" s="194"/>
      <c r="AF19" s="528"/>
      <c r="AG19" s="31"/>
      <c r="AH19" s="51" t="s">
        <v>84</v>
      </c>
      <c r="AK19" s="1447"/>
      <c r="AL19" s="1447"/>
      <c r="AM19" s="1447"/>
      <c r="AN19" s="1448"/>
      <c r="AO19" s="79">
        <f>SUM(AO14:AO16)</f>
        <v>7939000</v>
      </c>
      <c r="AP19" s="1449"/>
      <c r="AQ19" s="1447"/>
    </row>
    <row r="20" spans="3:43" ht="28.5" customHeight="1" thickBot="1">
      <c r="C20" s="60" t="s">
        <v>85</v>
      </c>
      <c r="D20" s="5"/>
      <c r="E20" s="1391"/>
      <c r="F20" s="61" t="s">
        <v>86</v>
      </c>
      <c r="G20" s="102" t="s">
        <v>87</v>
      </c>
      <c r="H20" s="251">
        <v>1700000</v>
      </c>
      <c r="I20" s="251"/>
      <c r="J20" s="251"/>
      <c r="K20" s="255">
        <v>1700000</v>
      </c>
      <c r="L20" s="220"/>
      <c r="M20" s="197"/>
      <c r="N20" s="197"/>
      <c r="O20" s="197"/>
      <c r="P20" s="192"/>
      <c r="Q20" s="192"/>
      <c r="R20" s="192"/>
      <c r="S20" s="229"/>
      <c r="T20" s="229"/>
      <c r="U20" s="229"/>
      <c r="V20" s="520">
        <v>0</v>
      </c>
      <c r="W20" s="226"/>
      <c r="X20" s="226"/>
      <c r="Y20" s="224">
        <v>0</v>
      </c>
      <c r="Z20" s="200"/>
      <c r="AA20" s="201"/>
      <c r="AB20" s="524">
        <v>0</v>
      </c>
      <c r="AC20" s="227">
        <v>1700000</v>
      </c>
      <c r="AD20" s="227"/>
      <c r="AE20" s="201"/>
      <c r="AF20" s="522">
        <v>1700000</v>
      </c>
      <c r="AG20" s="31"/>
      <c r="AH20" s="60" t="s">
        <v>85</v>
      </c>
      <c r="AK20" s="57"/>
      <c r="AL20" s="545"/>
      <c r="AM20" s="57"/>
      <c r="AN20" s="57"/>
      <c r="AO20" s="82"/>
      <c r="AP20" s="81"/>
      <c r="AQ20" s="57"/>
    </row>
    <row r="21" spans="3:43" ht="28.5" customHeight="1" thickBot="1">
      <c r="C21" s="51" t="s">
        <v>88</v>
      </c>
      <c r="D21" s="5"/>
      <c r="E21" s="1391"/>
      <c r="F21" s="83" t="s">
        <v>89</v>
      </c>
      <c r="G21" s="419" t="s">
        <v>87</v>
      </c>
      <c r="H21" s="251"/>
      <c r="I21" s="251"/>
      <c r="J21" s="251">
        <v>0</v>
      </c>
      <c r="K21" s="255">
        <v>0</v>
      </c>
      <c r="L21" s="220"/>
      <c r="M21" s="229"/>
      <c r="N21" s="229"/>
      <c r="O21" s="230"/>
      <c r="P21" s="192"/>
      <c r="Q21" s="192"/>
      <c r="R21" s="192"/>
      <c r="S21" s="229"/>
      <c r="T21" s="229"/>
      <c r="U21" s="229"/>
      <c r="V21" s="516">
        <v>0</v>
      </c>
      <c r="W21" s="193"/>
      <c r="X21" s="193"/>
      <c r="Y21" s="224">
        <v>0</v>
      </c>
      <c r="Z21" s="225"/>
      <c r="AA21" s="196"/>
      <c r="AB21" s="532">
        <v>0</v>
      </c>
      <c r="AC21" s="192"/>
      <c r="AD21" s="192"/>
      <c r="AE21" s="194"/>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500000</v>
      </c>
      <c r="I22" s="251"/>
      <c r="J22" s="251"/>
      <c r="K22" s="255">
        <v>500000</v>
      </c>
      <c r="L22" s="220"/>
      <c r="M22" s="197">
        <v>100000</v>
      </c>
      <c r="N22" s="221"/>
      <c r="O22" s="199">
        <v>400000</v>
      </c>
      <c r="P22" s="192"/>
      <c r="Q22" s="221"/>
      <c r="R22" s="192"/>
      <c r="S22" s="229"/>
      <c r="T22" s="229"/>
      <c r="U22" s="229"/>
      <c r="V22" s="526">
        <v>0</v>
      </c>
      <c r="W22" s="193"/>
      <c r="X22" s="193"/>
      <c r="Y22" s="224">
        <v>0</v>
      </c>
      <c r="Z22" s="225"/>
      <c r="AA22" s="196"/>
      <c r="AB22" s="529">
        <v>0</v>
      </c>
      <c r="AC22" s="192"/>
      <c r="AD22" s="192"/>
      <c r="AE22" s="194"/>
      <c r="AF22" s="529">
        <v>0</v>
      </c>
      <c r="AG22" s="31"/>
      <c r="AH22" s="60" t="s">
        <v>90</v>
      </c>
      <c r="AK22" s="57"/>
      <c r="AL22" s="96" t="s">
        <v>349</v>
      </c>
      <c r="AM22" s="97"/>
      <c r="AN22" s="98">
        <f>(K13+K14+K20)</f>
        <v>15156000</v>
      </c>
      <c r="AO22" s="99">
        <v>1</v>
      </c>
      <c r="AP22" s="81"/>
      <c r="AQ22" s="57"/>
    </row>
    <row r="23" spans="3:41" ht="28.5" customHeight="1" thickBot="1">
      <c r="C23" s="51" t="s">
        <v>94</v>
      </c>
      <c r="D23" s="5"/>
      <c r="E23" s="1391"/>
      <c r="F23" s="61" t="s">
        <v>95</v>
      </c>
      <c r="G23" s="102" t="s">
        <v>99</v>
      </c>
      <c r="H23" s="251">
        <v>6000</v>
      </c>
      <c r="I23" s="251">
        <v>3000</v>
      </c>
      <c r="J23" s="251">
        <v>2000</v>
      </c>
      <c r="K23" s="255">
        <v>7000</v>
      </c>
      <c r="L23" s="220"/>
      <c r="M23" s="221"/>
      <c r="N23" s="221"/>
      <c r="O23" s="221"/>
      <c r="P23" s="221"/>
      <c r="Q23" s="221"/>
      <c r="R23" s="222"/>
      <c r="S23" s="229"/>
      <c r="T23" s="229"/>
      <c r="U23" s="229"/>
      <c r="V23" s="526">
        <v>0</v>
      </c>
      <c r="W23" s="193"/>
      <c r="X23" s="193"/>
      <c r="Y23" s="224">
        <v>0</v>
      </c>
      <c r="Z23" s="225"/>
      <c r="AA23" s="196"/>
      <c r="AB23" s="528">
        <v>0</v>
      </c>
      <c r="AC23" s="192">
        <v>7000</v>
      </c>
      <c r="AD23" s="192"/>
      <c r="AE23" s="194"/>
      <c r="AF23" s="529">
        <v>7000</v>
      </c>
      <c r="AG23" s="31"/>
      <c r="AH23" s="51" t="s">
        <v>94</v>
      </c>
      <c r="AL23" s="96" t="s">
        <v>93</v>
      </c>
      <c r="AM23" s="97"/>
      <c r="AN23" s="100">
        <f>AQ17</f>
        <v>7939000</v>
      </c>
      <c r="AO23" s="101">
        <f>AN23/AN22</f>
        <v>0.5238189495909211</v>
      </c>
    </row>
    <row r="24" spans="3:41" ht="28.5" customHeight="1" thickBot="1">
      <c r="C24" s="60" t="s">
        <v>97</v>
      </c>
      <c r="D24" s="5"/>
      <c r="E24" s="1391"/>
      <c r="F24" s="61" t="s">
        <v>98</v>
      </c>
      <c r="G24" s="102" t="s">
        <v>99</v>
      </c>
      <c r="H24" s="251">
        <v>116000</v>
      </c>
      <c r="I24" s="251">
        <v>1000</v>
      </c>
      <c r="J24" s="251">
        <v>93000</v>
      </c>
      <c r="K24" s="255">
        <v>24000</v>
      </c>
      <c r="L24" s="220"/>
      <c r="M24" s="221"/>
      <c r="N24" s="221"/>
      <c r="O24" s="221"/>
      <c r="P24" s="221"/>
      <c r="Q24" s="221"/>
      <c r="R24" s="222"/>
      <c r="S24" s="229"/>
      <c r="T24" s="229"/>
      <c r="U24" s="229"/>
      <c r="V24" s="526">
        <v>0</v>
      </c>
      <c r="W24" s="193"/>
      <c r="X24" s="193"/>
      <c r="Y24" s="224">
        <v>0</v>
      </c>
      <c r="Z24" s="225"/>
      <c r="AA24" s="196">
        <v>4000</v>
      </c>
      <c r="AB24" s="528">
        <v>4000</v>
      </c>
      <c r="AC24" s="192">
        <v>20000</v>
      </c>
      <c r="AD24" s="192"/>
      <c r="AE24" s="194"/>
      <c r="AF24" s="529">
        <v>20000</v>
      </c>
      <c r="AG24" s="31"/>
      <c r="AH24" s="60" t="s">
        <v>97</v>
      </c>
      <c r="AL24" s="96" t="s">
        <v>551</v>
      </c>
      <c r="AM24" s="97"/>
      <c r="AN24" s="98"/>
      <c r="AO24" s="99">
        <f>AO14/AN23</f>
        <v>0.634336818239073</v>
      </c>
    </row>
    <row r="25" spans="3:41" ht="28.5" customHeight="1" thickBot="1">
      <c r="C25" s="104" t="s">
        <v>100</v>
      </c>
      <c r="D25" s="5"/>
      <c r="E25" s="1392"/>
      <c r="F25" s="105" t="s">
        <v>101</v>
      </c>
      <c r="G25" s="420"/>
      <c r="H25" s="259"/>
      <c r="I25" s="259"/>
      <c r="J25" s="260"/>
      <c r="K25" s="261">
        <v>0</v>
      </c>
      <c r="L25" s="232"/>
      <c r="M25" s="234"/>
      <c r="N25" s="234"/>
      <c r="O25" s="234"/>
      <c r="P25" s="234"/>
      <c r="Q25" s="234"/>
      <c r="R25" s="233"/>
      <c r="S25" s="232"/>
      <c r="T25" s="234"/>
      <c r="U25" s="233">
        <v>12.67333283974037</v>
      </c>
      <c r="V25" s="526">
        <f>(AB27*Assumptions!F20)-AB25</f>
        <v>157879.91290824255</v>
      </c>
      <c r="W25" s="235">
        <v>1244</v>
      </c>
      <c r="X25" s="236">
        <v>48</v>
      </c>
      <c r="Y25" s="224">
        <v>33838.928</v>
      </c>
      <c r="Z25" s="237"/>
      <c r="AA25" s="238">
        <v>1013000</v>
      </c>
      <c r="AB25" s="528">
        <f>((AB27)*Assumptions!F20)-((Y25/Assumptions!F30)*Assumptions!F20)</f>
        <v>817120.0870917575</v>
      </c>
      <c r="AC25" s="232"/>
      <c r="AD25" s="234"/>
      <c r="AE25" s="239"/>
      <c r="AF25" s="240">
        <v>0</v>
      </c>
      <c r="AG25" s="31"/>
      <c r="AH25" s="104" t="s">
        <v>100</v>
      </c>
      <c r="AL25" s="96" t="s">
        <v>552</v>
      </c>
      <c r="AM25" s="103"/>
      <c r="AN25" s="100">
        <f>IF(AB25+V25=0,"n.a.",AB25+V25)</f>
        <v>975000</v>
      </c>
      <c r="AO25" s="421">
        <f>IF(AN25/AN23=0,"n.a.",AN25/AN23)</f>
        <v>0.12281143720871646</v>
      </c>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264">
        <v>0</v>
      </c>
      <c r="W26" s="208"/>
      <c r="X26" s="244"/>
      <c r="Y26" s="122">
        <v>0</v>
      </c>
      <c r="Z26" s="245"/>
      <c r="AA26" s="246"/>
      <c r="AB26" s="247">
        <v>0</v>
      </c>
      <c r="AC26" s="245"/>
      <c r="AD26" s="248"/>
      <c r="AE26" s="246"/>
      <c r="AF26" s="247">
        <v>0</v>
      </c>
      <c r="AG26" s="127"/>
      <c r="AH26" s="104" t="s">
        <v>103</v>
      </c>
      <c r="AJ26" s="1"/>
      <c r="AK26" s="1"/>
      <c r="AL26" s="96" t="s">
        <v>102</v>
      </c>
      <c r="AM26" s="97"/>
      <c r="AN26" s="107">
        <f>AO14/AL9</f>
        <v>0.4920152548176901</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t="s">
        <v>491</v>
      </c>
      <c r="AB27" s="544">
        <f>VLOOKUP(AC2,'JFSQ p70'!6:58,11,FALSE)*1000</f>
        <v>650000</v>
      </c>
      <c r="AC27" s="134"/>
      <c r="AD27" s="5"/>
      <c r="AE27" s="5"/>
      <c r="AF27" s="135"/>
      <c r="AG27" s="31"/>
      <c r="AH27" s="136"/>
      <c r="AL27" s="96" t="s">
        <v>105</v>
      </c>
      <c r="AM27" s="103"/>
      <c r="AN27" s="107">
        <f>((AN23/Assumptions!F20)*Assumptions!F30/1000000)</f>
        <v>1.7015923333333336</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492</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f>AL15+(V18/Y18*Y25)</f>
        <v>966731.9103922525</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449.28</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0.010697142857142856</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codeName="Tabelle30">
    <tabColor indexed="11"/>
  </sheetPr>
  <dimension ref="C1:AS95"/>
  <sheetViews>
    <sheetView zoomScale="75" zoomScaleNormal="75" zoomScaleSheetLayoutView="70" workbookViewId="0" topLeftCell="AG6">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9.28125" style="159" customWidth="1"/>
    <col min="10" max="10" width="10.28125" style="159" customWidth="1"/>
    <col min="11" max="11" width="11.8515625" style="169" customWidth="1"/>
    <col min="12" max="12" width="11.28125" style="159" customWidth="1"/>
    <col min="13" max="13" width="11.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11.57421875" style="1" customWidth="1"/>
    <col min="26" max="26" width="12.28125" style="1" customWidth="1"/>
    <col min="27" max="27" width="8.140625" style="1" customWidth="1"/>
    <col min="28" max="28" width="9.8515625" style="1" customWidth="1"/>
    <col min="29" max="29" width="11.140625" style="1" customWidth="1"/>
    <col min="30" max="30" width="10.28125" style="1" bestFit="1" customWidth="1"/>
    <col min="31" max="31" width="8.140625" style="1" customWidth="1"/>
    <col min="32" max="32" width="12.281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242</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France</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60876136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0.6778537934521642</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31620000</v>
      </c>
      <c r="I13" s="183">
        <v>2310000</v>
      </c>
      <c r="J13" s="184">
        <v>3761000</v>
      </c>
      <c r="K13" s="423">
        <v>30169000</v>
      </c>
      <c r="L13" s="185">
        <v>20140000</v>
      </c>
      <c r="M13" s="186">
        <v>3300000</v>
      </c>
      <c r="N13" s="186">
        <v>6700000</v>
      </c>
      <c r="O13" s="187">
        <v>400000</v>
      </c>
      <c r="P13" s="187"/>
      <c r="Q13" s="187"/>
      <c r="R13" s="211"/>
      <c r="S13" s="212"/>
      <c r="T13" s="424"/>
      <c r="U13" s="425"/>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26000000</v>
      </c>
      <c r="I14" s="189">
        <v>49000</v>
      </c>
      <c r="J14" s="190">
        <v>456000</v>
      </c>
      <c r="K14" s="426">
        <f>H14+I14-J14</f>
        <v>25593000</v>
      </c>
      <c r="L14" s="220"/>
      <c r="M14" s="221"/>
      <c r="N14" s="221"/>
      <c r="O14" s="222"/>
      <c r="P14" s="192"/>
      <c r="Q14" s="199"/>
      <c r="R14" s="223"/>
      <c r="S14" s="193"/>
      <c r="T14" s="192"/>
      <c r="U14" s="194"/>
      <c r="V14" s="520">
        <v>0</v>
      </c>
      <c r="W14" s="193"/>
      <c r="X14" s="193"/>
      <c r="Y14" s="224">
        <v>0</v>
      </c>
      <c r="Z14" s="225"/>
      <c r="AA14" s="196"/>
      <c r="AB14" s="522"/>
      <c r="AC14" s="62">
        <v>25593000</v>
      </c>
      <c r="AD14" s="192"/>
      <c r="AE14" s="194"/>
      <c r="AF14" s="522">
        <f aca="true" t="shared" si="0" ref="AF14:AF22">SUM(AC14:AE14)</f>
        <v>25593000</v>
      </c>
      <c r="AG14" s="31"/>
      <c r="AH14" s="60" t="s">
        <v>71</v>
      </c>
      <c r="AK14" s="63" t="s">
        <v>73</v>
      </c>
      <c r="AL14" s="64">
        <f>IF(V13+V14+V15+V16+V17+V20=0,"n.a.",V13+V14+V15+V16+V17+V20)</f>
        <v>182000</v>
      </c>
      <c r="AM14" s="64" t="str">
        <f>IF(AB14+AB15+AB16+AB17+AB20=0,"n.a.",AB14+AB15+AB16+AB17+AB20)</f>
        <v>n.a.</v>
      </c>
      <c r="AN14" s="65">
        <f>IF(AF14+AF15+AF16+AF17+AF20=0,"n.a.",AF14+AF15+AF16+AF17+AF20)</f>
        <v>34604619.71830986</v>
      </c>
      <c r="AO14" s="66">
        <f>SUM(AL14:AN14)</f>
        <v>34786619.71830986</v>
      </c>
      <c r="AP14" s="67">
        <f>AO14/AQ17</f>
        <v>0.8430030000100689</v>
      </c>
      <c r="AQ14" s="57"/>
    </row>
    <row r="15" spans="3:43" ht="38.25" customHeight="1" thickBot="1">
      <c r="C15" s="51" t="s">
        <v>74</v>
      </c>
      <c r="D15" s="5"/>
      <c r="E15" s="1391"/>
      <c r="F15" s="61" t="s">
        <v>75</v>
      </c>
      <c r="G15" s="53" t="s">
        <v>65</v>
      </c>
      <c r="H15" s="188">
        <v>3440000</v>
      </c>
      <c r="I15" s="189">
        <v>0</v>
      </c>
      <c r="J15" s="190">
        <v>0</v>
      </c>
      <c r="K15" s="426">
        <v>3440000</v>
      </c>
      <c r="L15" s="220"/>
      <c r="M15" s="197"/>
      <c r="N15" s="197"/>
      <c r="O15" s="199"/>
      <c r="P15" s="199"/>
      <c r="Q15" s="199"/>
      <c r="R15" s="223"/>
      <c r="S15" s="193"/>
      <c r="T15" s="192"/>
      <c r="U15" s="194"/>
      <c r="V15" s="1065">
        <v>182000</v>
      </c>
      <c r="W15" s="193"/>
      <c r="X15" s="193"/>
      <c r="Y15" s="224">
        <v>0</v>
      </c>
      <c r="Z15" s="225"/>
      <c r="AA15" s="196"/>
      <c r="AB15" s="522"/>
      <c r="AC15" s="192"/>
      <c r="AD15" s="192"/>
      <c r="AE15" s="194"/>
      <c r="AF15" s="522">
        <f t="shared" si="0"/>
        <v>0</v>
      </c>
      <c r="AG15" s="31"/>
      <c r="AH15" s="51" t="s">
        <v>74</v>
      </c>
      <c r="AK15" s="63" t="s">
        <v>76</v>
      </c>
      <c r="AL15" s="68">
        <f>IF(V18+V19+(V23*Assumptions!F9)+(V24*Assumptions!F6)+(V22*Assumptions!F16)+V25=0,"n.a.",V18+V19+(V23*Assumptions!F9)+(V24*Assumptions!F6)+(V22*Assumptions!F16)+V25)</f>
        <v>331500</v>
      </c>
      <c r="AM15" s="68">
        <f>IF(AB18+AB19+AB23+(AB24*Assumptions!F6)+(AB25)+(AB22*Assumptions!F16)=0,"n.a.",AB18+AB19+AB23+(AB24*Assumptions!F26)+(AB25)+(AB22*Assumptions!F16))</f>
        <v>3825000</v>
      </c>
      <c r="AN15" s="69">
        <f>IF(AF18+AF19+(AF23*Assumptions!F9)+(AF24*1.5)+(AF22*Assumptions!F16)=0,"n.a.",AF18+AF19+(AF23*Assumptions!F9)+(AF24*1.5)+AF22*Assumptions!F16)</f>
        <v>822000</v>
      </c>
      <c r="AO15" s="66">
        <f>SUM(AL15:AN15)</f>
        <v>4978500</v>
      </c>
      <c r="AP15" s="67">
        <f>AO15/AQ17</f>
        <v>0.12064668741990772</v>
      </c>
      <c r="AQ15" s="57"/>
    </row>
    <row r="16" spans="3:43" ht="38.25" customHeight="1" thickBot="1">
      <c r="C16" s="60" t="s">
        <v>77</v>
      </c>
      <c r="D16" s="5"/>
      <c r="E16" s="1391"/>
      <c r="F16" s="61" t="s">
        <v>78</v>
      </c>
      <c r="G16" s="53" t="s">
        <v>65</v>
      </c>
      <c r="H16" s="188"/>
      <c r="I16" s="189"/>
      <c r="J16" s="190"/>
      <c r="K16" s="426">
        <v>0</v>
      </c>
      <c r="L16" s="220"/>
      <c r="M16" s="197"/>
      <c r="N16" s="197"/>
      <c r="O16" s="199"/>
      <c r="P16" s="199"/>
      <c r="Q16" s="199"/>
      <c r="R16" s="223"/>
      <c r="S16" s="193"/>
      <c r="T16" s="192"/>
      <c r="U16" s="194"/>
      <c r="V16" s="520">
        <v>0</v>
      </c>
      <c r="W16" s="193"/>
      <c r="X16" s="193"/>
      <c r="Y16" s="224">
        <v>0</v>
      </c>
      <c r="Z16" s="225"/>
      <c r="AA16" s="196"/>
      <c r="AB16" s="523"/>
      <c r="AC16" s="192"/>
      <c r="AD16" s="192"/>
      <c r="AE16" s="194"/>
      <c r="AF16" s="522">
        <f t="shared" si="0"/>
        <v>0</v>
      </c>
      <c r="AG16" s="31"/>
      <c r="AH16" s="60" t="s">
        <v>77</v>
      </c>
      <c r="AK16" s="430" t="s">
        <v>79</v>
      </c>
      <c r="AL16" s="70" t="str">
        <f>IF(V21*Assumptions!F20=0,"n.a.",V21*Assumptions!F20)</f>
        <v>n.a.</v>
      </c>
      <c r="AM16" s="70" t="str">
        <f>IF(AB21*Assumptions!F20=0,"n.a.",AB21*Assumptions!F20)</f>
        <v>n.a.</v>
      </c>
      <c r="AN16" s="71">
        <f>IF(AF21*Assumptions!F20=0,"n.a.",AF21)</f>
        <v>1500000</v>
      </c>
      <c r="AO16" s="66">
        <f>SUM(AL16:AN16)</f>
        <v>1500000</v>
      </c>
      <c r="AP16" s="67">
        <f>AO16/AQ17</f>
        <v>0.03635031257002342</v>
      </c>
      <c r="AQ16" s="73"/>
    </row>
    <row r="17" spans="3:43" ht="38.25" customHeight="1" thickBot="1" thickTop="1">
      <c r="C17" s="51" t="s">
        <v>80</v>
      </c>
      <c r="D17" s="5"/>
      <c r="E17" s="1391"/>
      <c r="F17" s="61" t="s">
        <v>81</v>
      </c>
      <c r="G17" s="53" t="s">
        <v>65</v>
      </c>
      <c r="H17" s="188"/>
      <c r="I17" s="189"/>
      <c r="J17" s="190"/>
      <c r="K17" s="426">
        <v>0</v>
      </c>
      <c r="L17" s="220"/>
      <c r="M17" s="197"/>
      <c r="N17" s="197"/>
      <c r="O17" s="199"/>
      <c r="P17" s="199"/>
      <c r="Q17" s="199"/>
      <c r="R17" s="223"/>
      <c r="S17" s="193"/>
      <c r="T17" s="192"/>
      <c r="U17" s="194"/>
      <c r="V17" s="520">
        <v>0</v>
      </c>
      <c r="W17" s="193"/>
      <c r="X17" s="193"/>
      <c r="Y17" s="224">
        <v>0</v>
      </c>
      <c r="Z17" s="225"/>
      <c r="AA17" s="196"/>
      <c r="AB17" s="522"/>
      <c r="AC17" s="192"/>
      <c r="AD17" s="192"/>
      <c r="AE17" s="194"/>
      <c r="AF17" s="522">
        <f t="shared" si="0"/>
        <v>0</v>
      </c>
      <c r="AG17" s="31"/>
      <c r="AH17" s="51" t="s">
        <v>80</v>
      </c>
      <c r="AK17" s="431" t="s">
        <v>354</v>
      </c>
      <c r="AL17" s="429">
        <f>SUM(AL14:AL16)</f>
        <v>513500</v>
      </c>
      <c r="AM17" s="75">
        <f>SUM(AM14:AM16)</f>
        <v>3825000</v>
      </c>
      <c r="AN17" s="75">
        <f>SUM(AN14:AN16)</f>
        <v>36926619.71830986</v>
      </c>
      <c r="AO17" s="1443"/>
      <c r="AP17" s="1444"/>
      <c r="AQ17" s="76">
        <f>SUM(AL17:AN17)</f>
        <v>41265119.71830986</v>
      </c>
    </row>
    <row r="18" spans="3:43" ht="38.25" customHeight="1" thickBot="1" thickTop="1">
      <c r="C18" s="60" t="s">
        <v>82</v>
      </c>
      <c r="D18" s="5"/>
      <c r="E18" s="1391"/>
      <c r="F18" s="61" t="s">
        <v>83</v>
      </c>
      <c r="G18" s="53" t="s">
        <v>65</v>
      </c>
      <c r="H18" s="188">
        <v>11208000</v>
      </c>
      <c r="I18" s="189">
        <v>1284000</v>
      </c>
      <c r="J18" s="190">
        <v>1725000</v>
      </c>
      <c r="K18" s="426">
        <v>10767000</v>
      </c>
      <c r="L18" s="220"/>
      <c r="M18" s="197"/>
      <c r="N18" s="197"/>
      <c r="O18" s="199"/>
      <c r="P18" s="199"/>
      <c r="Q18" s="199"/>
      <c r="R18" s="223"/>
      <c r="S18" s="193"/>
      <c r="T18" s="192"/>
      <c r="U18" s="194"/>
      <c r="V18" s="1065">
        <f>221000*1.5</f>
        <v>331500</v>
      </c>
      <c r="W18" s="193"/>
      <c r="X18" s="193"/>
      <c r="Y18" s="224">
        <v>0</v>
      </c>
      <c r="Z18" s="225"/>
      <c r="AA18" s="196"/>
      <c r="AB18" s="1065">
        <f>150000*1.5</f>
        <v>225000</v>
      </c>
      <c r="AC18" s="192"/>
      <c r="AD18" s="192"/>
      <c r="AE18" s="194"/>
      <c r="AF18" s="528">
        <f t="shared" si="0"/>
        <v>0</v>
      </c>
      <c r="AG18" s="31"/>
      <c r="AH18" s="60" t="s">
        <v>82</v>
      </c>
      <c r="AK18" s="431" t="s">
        <v>70</v>
      </c>
      <c r="AL18" s="78">
        <f>AL17/$AQ$17</f>
        <v>0.012443923669804683</v>
      </c>
      <c r="AM18" s="78">
        <f>AM17/$AQ$17</f>
        <v>0.09269329705355972</v>
      </c>
      <c r="AN18" s="78">
        <f>AN17/$AQ$17</f>
        <v>0.8948627792766356</v>
      </c>
      <c r="AO18" s="1445"/>
      <c r="AP18" s="1446"/>
      <c r="AQ18" s="57"/>
    </row>
    <row r="19" spans="3:43" ht="38.25" customHeight="1" thickBot="1">
      <c r="C19" s="51" t="s">
        <v>84</v>
      </c>
      <c r="D19" s="5"/>
      <c r="E19" s="1391"/>
      <c r="F19" s="61" t="s">
        <v>409</v>
      </c>
      <c r="G19" s="53" t="s">
        <v>65</v>
      </c>
      <c r="H19" s="198">
        <v>0</v>
      </c>
      <c r="I19" s="189">
        <v>0</v>
      </c>
      <c r="J19" s="190">
        <v>0</v>
      </c>
      <c r="K19" s="426">
        <v>0</v>
      </c>
      <c r="L19" s="220"/>
      <c r="M19" s="197"/>
      <c r="N19" s="197"/>
      <c r="O19" s="199"/>
      <c r="P19" s="199"/>
      <c r="Q19" s="199"/>
      <c r="R19" s="223"/>
      <c r="S19" s="193"/>
      <c r="T19" s="192"/>
      <c r="U19" s="194"/>
      <c r="V19" s="526">
        <v>0</v>
      </c>
      <c r="W19" s="193"/>
      <c r="X19" s="193"/>
      <c r="Y19" s="224">
        <v>0</v>
      </c>
      <c r="Z19" s="225"/>
      <c r="AA19" s="196"/>
      <c r="AB19" s="529"/>
      <c r="AC19" s="192"/>
      <c r="AD19" s="192"/>
      <c r="AE19" s="194"/>
      <c r="AF19" s="528">
        <f t="shared" si="0"/>
        <v>0</v>
      </c>
      <c r="AG19" s="31"/>
      <c r="AH19" s="51" t="s">
        <v>84</v>
      </c>
      <c r="AK19" s="1447"/>
      <c r="AL19" s="1447"/>
      <c r="AM19" s="1447"/>
      <c r="AN19" s="1448"/>
      <c r="AO19" s="79">
        <f>SUM(AO14:AO16)</f>
        <v>41265119.71830986</v>
      </c>
      <c r="AP19" s="1449"/>
      <c r="AQ19" s="1447"/>
    </row>
    <row r="20" spans="3:43" ht="28.5" customHeight="1" thickBot="1">
      <c r="C20" s="60" t="s">
        <v>85</v>
      </c>
      <c r="D20" s="5"/>
      <c r="E20" s="1391"/>
      <c r="F20" s="61" t="s">
        <v>86</v>
      </c>
      <c r="G20" s="1018" t="s">
        <v>430</v>
      </c>
      <c r="H20" s="198">
        <v>9200000</v>
      </c>
      <c r="I20" s="189">
        <v>0</v>
      </c>
      <c r="J20" s="190">
        <v>0</v>
      </c>
      <c r="K20" s="426">
        <v>9200000</v>
      </c>
      <c r="L20" s="220"/>
      <c r="M20" s="197"/>
      <c r="N20" s="197"/>
      <c r="O20" s="199"/>
      <c r="P20" s="199"/>
      <c r="Q20" s="199"/>
      <c r="R20" s="223"/>
      <c r="S20" s="226"/>
      <c r="T20" s="227"/>
      <c r="U20" s="228"/>
      <c r="V20" s="520">
        <v>0</v>
      </c>
      <c r="W20" s="193"/>
      <c r="X20" s="193"/>
      <c r="Y20" s="224">
        <v>0</v>
      </c>
      <c r="Z20" s="200"/>
      <c r="AA20" s="201"/>
      <c r="AB20" s="524"/>
      <c r="AC20" s="192">
        <f>AC14/0.71*0.25</f>
        <v>9011619.718309859</v>
      </c>
      <c r="AD20" s="227"/>
      <c r="AE20" s="201"/>
      <c r="AF20" s="522">
        <f t="shared" si="0"/>
        <v>9011619.718309859</v>
      </c>
      <c r="AG20" s="31"/>
      <c r="AH20" s="60" t="s">
        <v>85</v>
      </c>
      <c r="AK20" s="57"/>
      <c r="AL20" s="545"/>
      <c r="AM20" s="57"/>
      <c r="AN20" s="57"/>
      <c r="AO20" s="82"/>
      <c r="AP20" s="81"/>
      <c r="AQ20" s="545"/>
    </row>
    <row r="21" spans="3:43" ht="28.5" customHeight="1" thickBot="1">
      <c r="C21" s="51" t="s">
        <v>88</v>
      </c>
      <c r="D21" s="5"/>
      <c r="E21" s="1391"/>
      <c r="F21" s="83" t="s">
        <v>89</v>
      </c>
      <c r="G21" s="84" t="s">
        <v>472</v>
      </c>
      <c r="H21" s="1065">
        <v>7100000</v>
      </c>
      <c r="I21" s="86"/>
      <c r="J21" s="87">
        <v>0</v>
      </c>
      <c r="K21" s="1065">
        <f>H21+I21-J21</f>
        <v>7100000</v>
      </c>
      <c r="L21" s="89"/>
      <c r="M21" s="90"/>
      <c r="N21" s="90"/>
      <c r="O21" s="91">
        <v>5041000</v>
      </c>
      <c r="P21" s="91"/>
      <c r="Q21" s="91"/>
      <c r="R21" s="92"/>
      <c r="S21" s="93"/>
      <c r="T21" s="94"/>
      <c r="U21" s="95"/>
      <c r="V21" s="516"/>
      <c r="W21" s="193"/>
      <c r="X21" s="193"/>
      <c r="Y21" s="224">
        <v>0</v>
      </c>
      <c r="Z21" s="225"/>
      <c r="AA21" s="196"/>
      <c r="AB21" s="532"/>
      <c r="AC21" s="192">
        <v>1500000</v>
      </c>
      <c r="AD21" s="192"/>
      <c r="AE21" s="194"/>
      <c r="AF21" s="532">
        <f t="shared" si="0"/>
        <v>1500000</v>
      </c>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188">
        <v>1640000</v>
      </c>
      <c r="I22" s="189">
        <v>177000</v>
      </c>
      <c r="J22" s="190">
        <v>262000</v>
      </c>
      <c r="K22" s="426">
        <v>1555000</v>
      </c>
      <c r="L22" s="220"/>
      <c r="M22" s="197"/>
      <c r="N22" s="221"/>
      <c r="O22" s="199"/>
      <c r="P22" s="199"/>
      <c r="Q22" s="221"/>
      <c r="R22" s="231"/>
      <c r="S22" s="193"/>
      <c r="T22" s="192"/>
      <c r="U22" s="194"/>
      <c r="V22" s="526">
        <v>0</v>
      </c>
      <c r="W22" s="193"/>
      <c r="X22" s="193"/>
      <c r="Y22" s="224">
        <v>0</v>
      </c>
      <c r="Z22" s="225"/>
      <c r="AA22" s="196"/>
      <c r="AB22" s="529"/>
      <c r="AC22" s="192"/>
      <c r="AD22" s="192"/>
      <c r="AE22" s="194"/>
      <c r="AF22" s="529">
        <f t="shared" si="0"/>
        <v>0</v>
      </c>
      <c r="AG22" s="31"/>
      <c r="AH22" s="60" t="s">
        <v>90</v>
      </c>
      <c r="AK22" s="57"/>
      <c r="AL22" s="96" t="s">
        <v>349</v>
      </c>
      <c r="AM22" s="97"/>
      <c r="AN22" s="98">
        <f>(K13+K14+2*K20)</f>
        <v>74162000</v>
      </c>
      <c r="AO22" s="99">
        <v>1</v>
      </c>
      <c r="AP22" s="81"/>
      <c r="AQ22" s="57"/>
    </row>
    <row r="23" spans="3:41" ht="28.5" customHeight="1" thickBot="1">
      <c r="C23" s="51" t="s">
        <v>94</v>
      </c>
      <c r="D23" s="5"/>
      <c r="E23" s="1391"/>
      <c r="F23" s="61" t="s">
        <v>95</v>
      </c>
      <c r="G23" s="80" t="s">
        <v>96</v>
      </c>
      <c r="H23" s="188">
        <v>51000</v>
      </c>
      <c r="I23" s="189">
        <v>53000</v>
      </c>
      <c r="J23" s="190">
        <v>17000</v>
      </c>
      <c r="K23" s="426">
        <v>87000</v>
      </c>
      <c r="L23" s="220"/>
      <c r="M23" s="221"/>
      <c r="N23" s="221"/>
      <c r="O23" s="221"/>
      <c r="P23" s="221"/>
      <c r="Q23" s="221"/>
      <c r="R23" s="222"/>
      <c r="S23" s="205"/>
      <c r="T23" s="192"/>
      <c r="U23" s="194"/>
      <c r="V23" s="526">
        <v>0</v>
      </c>
      <c r="W23" s="193"/>
      <c r="X23" s="193"/>
      <c r="Y23" s="224">
        <v>0</v>
      </c>
      <c r="Z23" s="225"/>
      <c r="AA23" s="196"/>
      <c r="AB23" s="528"/>
      <c r="AC23" s="192"/>
      <c r="AD23" s="192"/>
      <c r="AE23" s="194"/>
      <c r="AF23" s="1065">
        <v>87000</v>
      </c>
      <c r="AG23" s="31"/>
      <c r="AH23" s="51" t="s">
        <v>94</v>
      </c>
      <c r="AL23" s="96" t="s">
        <v>93</v>
      </c>
      <c r="AM23" s="97"/>
      <c r="AN23" s="100">
        <f>AQ17</f>
        <v>41265119.71830986</v>
      </c>
      <c r="AO23" s="101">
        <f>AN23/AN22</f>
        <v>0.556418647262882</v>
      </c>
    </row>
    <row r="24" spans="3:41" ht="28.5" customHeight="1" thickBot="1">
      <c r="C24" s="60" t="s">
        <v>97</v>
      </c>
      <c r="D24" s="5"/>
      <c r="E24" s="1391"/>
      <c r="F24" s="61" t="s">
        <v>98</v>
      </c>
      <c r="G24" s="102" t="s">
        <v>99</v>
      </c>
      <c r="H24" s="1065">
        <v>150000</v>
      </c>
      <c r="I24" s="189">
        <v>50000</v>
      </c>
      <c r="J24" s="190"/>
      <c r="K24" s="1064">
        <v>200000</v>
      </c>
      <c r="L24" s="220"/>
      <c r="M24" s="221"/>
      <c r="N24" s="221"/>
      <c r="O24" s="221"/>
      <c r="P24" s="221"/>
      <c r="Q24" s="221"/>
      <c r="R24" s="222"/>
      <c r="S24" s="205"/>
      <c r="T24" s="192"/>
      <c r="U24" s="194"/>
      <c r="V24" s="526">
        <v>0</v>
      </c>
      <c r="W24" s="193"/>
      <c r="X24" s="193"/>
      <c r="Y24" s="224">
        <v>0</v>
      </c>
      <c r="Z24" s="225"/>
      <c r="AA24" s="196"/>
      <c r="AB24" s="528"/>
      <c r="AC24" s="192"/>
      <c r="AD24" s="192"/>
      <c r="AE24" s="194"/>
      <c r="AF24" s="1065">
        <v>200000</v>
      </c>
      <c r="AG24" s="31"/>
      <c r="AH24" s="60" t="s">
        <v>97</v>
      </c>
      <c r="AL24" s="96" t="s">
        <v>551</v>
      </c>
      <c r="AM24" s="97"/>
      <c r="AN24" s="98"/>
      <c r="AO24" s="99">
        <f>AN14/AN23</f>
        <v>0.8385924954182393</v>
      </c>
    </row>
    <row r="25" spans="3:41" ht="28.5" customHeight="1" thickBot="1">
      <c r="C25" s="104" t="s">
        <v>100</v>
      </c>
      <c r="D25" s="5"/>
      <c r="E25" s="1392"/>
      <c r="F25" s="105" t="s">
        <v>101</v>
      </c>
      <c r="G25" s="106"/>
      <c r="H25" s="232"/>
      <c r="I25" s="232"/>
      <c r="J25" s="233"/>
      <c r="K25" s="261">
        <v>0</v>
      </c>
      <c r="L25" s="232"/>
      <c r="M25" s="234"/>
      <c r="N25" s="234"/>
      <c r="O25" s="234"/>
      <c r="P25" s="234"/>
      <c r="Q25" s="234"/>
      <c r="R25" s="233"/>
      <c r="S25" s="232"/>
      <c r="T25" s="234"/>
      <c r="U25" s="233"/>
      <c r="V25" s="526"/>
      <c r="W25" s="193"/>
      <c r="X25" s="193"/>
      <c r="Y25" s="224">
        <v>0</v>
      </c>
      <c r="Z25" s="237"/>
      <c r="AA25" s="238"/>
      <c r="AB25" s="35">
        <v>3600000</v>
      </c>
      <c r="AC25" s="232"/>
      <c r="AD25" s="234"/>
      <c r="AE25" s="239"/>
      <c r="AF25" s="224">
        <f>SUM(AC25:AE25)</f>
        <v>0</v>
      </c>
      <c r="AG25" s="31"/>
      <c r="AH25" s="104" t="s">
        <v>100</v>
      </c>
      <c r="AL25" s="96" t="s">
        <v>552</v>
      </c>
      <c r="AM25" s="103"/>
      <c r="AN25" s="100">
        <f>IF(AB27+V25=0,"n.a.",AB27+V25)</f>
        <v>4976671.850699845</v>
      </c>
      <c r="AO25" s="421">
        <f>IF(AN25/AN23=0,"n.a.",AN25/AN23)</f>
        <v>0.12060238488758418</v>
      </c>
    </row>
    <row r="26" spans="3:43" s="108" customFormat="1" ht="28.5" customHeight="1" thickBot="1">
      <c r="C26" s="104" t="s">
        <v>103</v>
      </c>
      <c r="D26" s="109"/>
      <c r="E26" s="110"/>
      <c r="F26" s="111"/>
      <c r="G26" s="112"/>
      <c r="H26" s="113">
        <v>1000</v>
      </c>
      <c r="I26" s="113"/>
      <c r="J26" s="113"/>
      <c r="K26" s="113"/>
      <c r="L26" s="114"/>
      <c r="M26" s="114"/>
      <c r="N26" s="114"/>
      <c r="O26" s="115"/>
      <c r="P26" s="115"/>
      <c r="Q26" s="116"/>
      <c r="R26" s="117" t="s">
        <v>104</v>
      </c>
      <c r="S26" s="118"/>
      <c r="T26" s="119"/>
      <c r="U26" s="120"/>
      <c r="V26" s="121"/>
      <c r="W26" s="118">
        <v>0.19</v>
      </c>
      <c r="X26" s="119"/>
      <c r="Y26" s="122"/>
      <c r="Z26" s="123">
        <v>0.9</v>
      </c>
      <c r="AA26" s="124">
        <v>0.8</v>
      </c>
      <c r="AB26" s="125"/>
      <c r="AC26" s="123">
        <v>7.4</v>
      </c>
      <c r="AD26" s="126" t="s">
        <v>241</v>
      </c>
      <c r="AE26" s="124"/>
      <c r="AF26" s="125"/>
      <c r="AG26" s="127"/>
      <c r="AH26" s="104" t="s">
        <v>103</v>
      </c>
      <c r="AJ26" s="1"/>
      <c r="AK26" s="1"/>
      <c r="AL26" s="96" t="s">
        <v>102</v>
      </c>
      <c r="AM26" s="97"/>
      <c r="AN26" s="107">
        <f>AN14/AL9</f>
        <v>0.5684431041797702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1065">
        <f>0.8/0.3215*1000000*2</f>
        <v>4976671.850699845</v>
      </c>
      <c r="AC27" s="134"/>
      <c r="AD27" s="5"/>
      <c r="AE27" s="5"/>
      <c r="AF27" s="135"/>
      <c r="AG27" s="31"/>
      <c r="AH27" s="136"/>
      <c r="AJ27" s="35"/>
      <c r="AK27" s="35"/>
      <c r="AL27" s="96" t="s">
        <v>105</v>
      </c>
      <c r="AM27" s="103"/>
      <c r="AN27" s="107">
        <f>((AN23/Assumptions!F20)*Assumptions!F30/1000000)</f>
        <v>8.844490659624412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v>0.19</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20.25" customHeight="1" thickBot="1">
      <c r="C32" s="13"/>
      <c r="D32" s="5"/>
      <c r="E32" s="1418" t="s">
        <v>110</v>
      </c>
      <c r="F32" s="1419"/>
      <c r="G32" s="1419"/>
      <c r="H32" s="1420"/>
      <c r="I32" s="148"/>
      <c r="J32" s="148"/>
      <c r="K32" s="148"/>
      <c r="L32" s="148"/>
      <c r="M32" s="148"/>
      <c r="N32" s="148"/>
      <c r="O32" s="149"/>
      <c r="P32" s="149"/>
      <c r="Q32" s="149"/>
      <c r="R32" s="149"/>
      <c r="S32" s="149"/>
      <c r="T32" s="149"/>
      <c r="U32" s="149"/>
      <c r="V32" s="149">
        <v>0.9</v>
      </c>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v>0.8</v>
      </c>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v>7.4</v>
      </c>
      <c r="W34" s="160"/>
    </row>
    <row r="35" spans="3:22" s="152" customFormat="1" ht="9.75" customHeight="1">
      <c r="C35" s="156"/>
      <c r="F35" s="157"/>
      <c r="H35" s="158"/>
      <c r="I35" s="158"/>
      <c r="J35" s="158"/>
      <c r="K35" s="158"/>
      <c r="L35" s="158"/>
      <c r="M35" s="158"/>
      <c r="N35" s="158"/>
      <c r="V35" s="152">
        <v>0.04</v>
      </c>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35">
        <f>(AC14+2*AC20)*0.3215/2</f>
        <v>7011310.489436619</v>
      </c>
    </row>
    <row r="39" spans="8:43" ht="18.75">
      <c r="H39" s="158"/>
      <c r="I39" s="158"/>
      <c r="J39" s="158"/>
      <c r="K39" s="161"/>
      <c r="V39" s="1">
        <f>SUM(V31:V38)</f>
        <v>9.33</v>
      </c>
      <c r="Y39" s="58"/>
      <c r="Z39" s="427"/>
      <c r="AA39" s="59"/>
      <c r="AB39" s="59"/>
      <c r="AC39" s="59">
        <f>AC26*1000000/(AC14)</f>
        <v>0.28914156214589926</v>
      </c>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codeName="Tabelle25">
    <tabColor indexed="11"/>
  </sheetPr>
  <dimension ref="C1:AR95"/>
  <sheetViews>
    <sheetView zoomScale="75" zoomScaleNormal="75" zoomScaleSheetLayoutView="70" workbookViewId="0" topLeftCell="AG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2.140625" style="159" customWidth="1"/>
    <col min="10" max="10" width="9.7109375" style="159" customWidth="1"/>
    <col min="11" max="11" width="12.8515625" style="169" bestFit="1" customWidth="1"/>
    <col min="12" max="12" width="9.57421875" style="159" customWidth="1"/>
    <col min="13" max="13" width="9.8515625" style="159" customWidth="1"/>
    <col min="14" max="14" width="10.28125" style="159" customWidth="1"/>
    <col min="15" max="15" width="8.57421875" style="1" customWidth="1"/>
    <col min="16" max="18" width="9.140625" style="1" customWidth="1"/>
    <col min="19" max="19" width="8.00390625" style="1" customWidth="1"/>
    <col min="20" max="20" width="10.8515625" style="1" customWidth="1"/>
    <col min="21" max="21" width="10.00390625" style="1" customWidth="1"/>
    <col min="22" max="22" width="15.57421875" style="1" customWidth="1"/>
    <col min="23" max="23" width="7.28125" style="1" customWidth="1"/>
    <col min="24" max="24" width="8.421875" style="1" customWidth="1"/>
    <col min="25" max="25" width="9.28125" style="1" customWidth="1"/>
    <col min="26" max="26" width="11.00390625" style="1" customWidth="1"/>
    <col min="27" max="27" width="8.140625" style="1" customWidth="1"/>
    <col min="28" max="28" width="11.8515625" style="1" customWidth="1"/>
    <col min="29" max="29" width="9.7109375" style="1" customWidth="1"/>
    <col min="30" max="30" width="10.421875" style="1" bestFit="1" customWidth="1"/>
    <col min="31" max="31" width="8.140625" style="1" customWidth="1"/>
    <col min="32" max="32" width="11.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122</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Finland</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5231372</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6.291485798730095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4" ht="38.25" customHeight="1" thickBot="1" thickTop="1">
      <c r="C13" s="51" t="s">
        <v>62</v>
      </c>
      <c r="D13" s="5"/>
      <c r="E13" s="1390" t="s">
        <v>63</v>
      </c>
      <c r="F13" s="52" t="s">
        <v>64</v>
      </c>
      <c r="G13" s="53" t="s">
        <v>119</v>
      </c>
      <c r="H13" s="182">
        <v>43753549.4781697</v>
      </c>
      <c r="I13" s="183">
        <v>15914518.7064738</v>
      </c>
      <c r="J13" s="184">
        <v>748125</v>
      </c>
      <c r="K13" s="951">
        <f>H13+I13-J13</f>
        <v>58919943.1846435</v>
      </c>
      <c r="L13" s="185">
        <v>23901314.6953262</v>
      </c>
      <c r="M13" s="186">
        <v>3463770.2933777473</v>
      </c>
      <c r="N13" s="186">
        <v>31982297.730646</v>
      </c>
      <c r="O13" s="187">
        <v>320685.465293669</v>
      </c>
      <c r="P13" s="952"/>
      <c r="Q13" s="952"/>
      <c r="R13" s="953"/>
      <c r="S13" s="954"/>
      <c r="T13" s="955"/>
      <c r="U13" s="956"/>
      <c r="V13" s="957"/>
      <c r="W13" s="958"/>
      <c r="X13" s="959"/>
      <c r="Y13" s="960"/>
      <c r="Z13" s="961"/>
      <c r="AA13" s="962"/>
      <c r="AB13" s="963"/>
      <c r="AC13" s="961"/>
      <c r="AD13" s="962"/>
      <c r="AE13" s="962"/>
      <c r="AF13" s="963"/>
      <c r="AG13" s="31"/>
      <c r="AH13" s="51" t="s">
        <v>62</v>
      </c>
      <c r="AK13" s="534" t="s">
        <v>66</v>
      </c>
      <c r="AL13" s="55" t="s">
        <v>67</v>
      </c>
      <c r="AM13" s="55" t="s">
        <v>68</v>
      </c>
      <c r="AN13" s="56" t="s">
        <v>69</v>
      </c>
      <c r="AO13" s="428" t="s">
        <v>353</v>
      </c>
      <c r="AP13" s="56" t="s">
        <v>70</v>
      </c>
      <c r="AQ13" s="57"/>
      <c r="AR13" s="58"/>
    </row>
    <row r="14" spans="3:43" ht="38.25" customHeight="1" thickBot="1">
      <c r="C14" s="60" t="s">
        <v>71</v>
      </c>
      <c r="D14" s="5"/>
      <c r="E14" s="1391"/>
      <c r="F14" s="61" t="s">
        <v>117</v>
      </c>
      <c r="G14" s="80" t="s">
        <v>119</v>
      </c>
      <c r="H14" s="188">
        <v>4483257</v>
      </c>
      <c r="I14" s="189">
        <v>180841</v>
      </c>
      <c r="J14" s="190">
        <v>5430</v>
      </c>
      <c r="K14" s="191">
        <f>H14+I14-J14</f>
        <v>4658668</v>
      </c>
      <c r="L14" s="964"/>
      <c r="M14" s="965"/>
      <c r="N14" s="965"/>
      <c r="O14" s="966"/>
      <c r="P14" s="967"/>
      <c r="Q14" s="968"/>
      <c r="R14" s="969"/>
      <c r="S14" s="970"/>
      <c r="T14" s="967"/>
      <c r="U14" s="971"/>
      <c r="V14" s="972"/>
      <c r="W14" s="973"/>
      <c r="X14" s="973"/>
      <c r="Y14" s="974">
        <f>W14*23.884+X14*85.984</f>
        <v>0</v>
      </c>
      <c r="Z14" s="975"/>
      <c r="AA14" s="976"/>
      <c r="AB14" s="977"/>
      <c r="AC14" s="192">
        <v>2752155.10859808</v>
      </c>
      <c r="AD14" s="192">
        <v>1731101.4562388163</v>
      </c>
      <c r="AE14" s="978"/>
      <c r="AF14" s="979">
        <f>SUM(AC14:AE14)</f>
        <v>4483256.564836896</v>
      </c>
      <c r="AG14" s="31"/>
      <c r="AH14" s="60" t="s">
        <v>71</v>
      </c>
      <c r="AK14" s="63" t="s">
        <v>73</v>
      </c>
      <c r="AL14" s="64">
        <f>IF(V13+V14+V15+V16+V17+V20*Assumptions!F20=0,"n.a.",V13+V14+V15+V16+V17+V20*Assumptions!F20)</f>
        <v>1579150.230769068</v>
      </c>
      <c r="AM14" s="64">
        <f>IF(AB14+AB15+AB16+AB17+AB20*Assumptions!F20=0,"n.a.",AB14+AB15+AB16+AB17+AB20*Assumptions!F20)</f>
        <v>570354.0174175733</v>
      </c>
      <c r="AN14" s="65">
        <f>IF(AF14+AF15+AF16+AF17+AF20*Assumptions!F20=0,"n.a.",AF14+AF15+AF16+AF17+AF20*Assumptions!F20)</f>
        <v>4653025.086576027</v>
      </c>
      <c r="AO14" s="66">
        <f>SUM(AL14:AN14)</f>
        <v>6802529.334762668</v>
      </c>
      <c r="AP14" s="67">
        <f>AO14/$AO$19</f>
        <v>0.20668149727340832</v>
      </c>
      <c r="AQ14" s="57"/>
    </row>
    <row r="15" spans="3:43" ht="38.25" customHeight="1" thickBot="1">
      <c r="C15" s="51" t="s">
        <v>74</v>
      </c>
      <c r="D15" s="5"/>
      <c r="E15" s="1391"/>
      <c r="F15" s="61" t="s">
        <v>75</v>
      </c>
      <c r="G15" s="80" t="s">
        <v>119</v>
      </c>
      <c r="H15" s="188">
        <v>1825011.2171848149</v>
      </c>
      <c r="I15" s="189"/>
      <c r="J15" s="190"/>
      <c r="K15" s="191">
        <f>H15+I15-J15</f>
        <v>1825011.2171848149</v>
      </c>
      <c r="L15" s="964"/>
      <c r="M15" s="980"/>
      <c r="N15" s="980"/>
      <c r="O15" s="968"/>
      <c r="P15" s="968"/>
      <c r="Q15" s="968"/>
      <c r="R15" s="969"/>
      <c r="S15" s="193">
        <v>249844.72875821334</v>
      </c>
      <c r="T15" s="192">
        <v>286567.0763137706</v>
      </c>
      <c r="U15" s="194">
        <v>949947.8710304172</v>
      </c>
      <c r="V15" s="981">
        <f aca="true" t="shared" si="0" ref="V15:V24">S15+T15+U15</f>
        <v>1486359.6761024012</v>
      </c>
      <c r="W15" s="193">
        <v>5266.2198672</v>
      </c>
      <c r="X15" s="193">
        <v>753.919685</v>
      </c>
      <c r="Y15" s="979">
        <v>190606.9249355116</v>
      </c>
      <c r="Z15" s="195">
        <v>242767.90142664965</v>
      </c>
      <c r="AA15" s="196">
        <v>95883.47604889456</v>
      </c>
      <c r="AB15" s="979">
        <f>SUM(Z15:AA15)</f>
        <v>338651.3774755442</v>
      </c>
      <c r="AC15" s="982"/>
      <c r="AD15" s="967"/>
      <c r="AE15" s="978"/>
      <c r="AF15" s="979">
        <f aca="true" t="shared" si="1" ref="AF15:AF22">SUM(AC15:AE15)</f>
        <v>0</v>
      </c>
      <c r="AG15" s="31"/>
      <c r="AH15" s="51" t="s">
        <v>74</v>
      </c>
      <c r="AK15" s="63" t="s">
        <v>76</v>
      </c>
      <c r="AL15" s="68">
        <f>IF(V18+V19+(V23*Assumptions!F9)+(V24*Assumptions!F6)+(V22*0.35)+(V25*Assumptions!F20)=0,"n.a.",V18+V19+(V23*Assumptions!F9)+(V24*Assumptions!F6)+(V22*0.35)+(Y25*Assumptions!F20))</f>
        <v>6739037.222379958</v>
      </c>
      <c r="AM15" s="68">
        <f>IF(AB18+AB19+(AB23*Assumptions!F9)+(AB24*Assumptions!F9)+(AB25*Assumptions!F20)+(AB22*0.35)=0,"n.a.",AB18+AB19+(AB23*Assumptions!F9)+(AB24*Assumptions!F6)+(AB25*Assumptions!F20)+(AB22*0.35))</f>
        <v>17997786.52951927</v>
      </c>
      <c r="AN15" s="69">
        <f>IF(AF18+AF19+(AF23*Assumptions!F9)+(AF24*Assumptions!F6)+AF22*0.35=0,"n.a.",AF18+AF19+(AF23*Assumptions!F9)+(AF24*Assumptions!F6)+AF22*0.35)</f>
        <v>1070739.46</v>
      </c>
      <c r="AO15" s="66">
        <f>SUM(AL15:AN15)</f>
        <v>25807563.21189923</v>
      </c>
      <c r="AP15" s="67">
        <f>AO15/$AO$19</f>
        <v>0.7841121358133119</v>
      </c>
      <c r="AQ15" s="57"/>
    </row>
    <row r="16" spans="3:43" ht="38.25" customHeight="1" thickBot="1">
      <c r="C16" s="60" t="s">
        <v>77</v>
      </c>
      <c r="D16" s="5"/>
      <c r="E16" s="1391"/>
      <c r="F16" s="61" t="s">
        <v>78</v>
      </c>
      <c r="G16" s="80" t="s">
        <v>119</v>
      </c>
      <c r="H16" s="188">
        <v>494261.7163478261</v>
      </c>
      <c r="I16" s="189"/>
      <c r="J16" s="190"/>
      <c r="K16" s="191">
        <f aca="true" t="shared" si="2" ref="K16:K24">H16+I16-J16</f>
        <v>494261.7163478261</v>
      </c>
      <c r="L16" s="964"/>
      <c r="M16" s="980"/>
      <c r="N16" s="980"/>
      <c r="O16" s="968"/>
      <c r="P16" s="968"/>
      <c r="Q16" s="968"/>
      <c r="R16" s="969"/>
      <c r="S16" s="193">
        <v>57408.63333333334</v>
      </c>
      <c r="T16" s="192">
        <v>2635.4773333333337</v>
      </c>
      <c r="U16" s="194">
        <v>32746.444000000007</v>
      </c>
      <c r="V16" s="981">
        <f t="shared" si="0"/>
        <v>92790.55466666668</v>
      </c>
      <c r="W16" s="193">
        <v>518.2280928</v>
      </c>
      <c r="X16" s="193">
        <v>17.291597999999997</v>
      </c>
      <c r="Y16" s="224">
        <v>13864.475150472914</v>
      </c>
      <c r="Z16" s="195">
        <v>183048.43433026478</v>
      </c>
      <c r="AA16" s="196">
        <v>48654.20561176423</v>
      </c>
      <c r="AB16" s="979">
        <f aca="true" t="shared" si="3" ref="AB16:AB25">SUM(Z16:AA16)</f>
        <v>231702.639942029</v>
      </c>
      <c r="AC16" s="984"/>
      <c r="AD16" s="984"/>
      <c r="AE16" s="194">
        <v>169768.52173913043</v>
      </c>
      <c r="AF16" s="979">
        <f t="shared" si="1"/>
        <v>169768.52173913043</v>
      </c>
      <c r="AG16" s="31"/>
      <c r="AH16" s="60" t="s">
        <v>77</v>
      </c>
      <c r="AK16" s="430" t="s">
        <v>79</v>
      </c>
      <c r="AL16" s="70">
        <f>IF(V21*Assumptions!F20=0,"n.a.",V21*Assumptions!F20)</f>
        <v>275590.60916691914</v>
      </c>
      <c r="AM16" s="70">
        <f>IF(AB21*Assumptions!F20=0,"n.a.",AB21*Assumptions!F20)</f>
        <v>27419.490045440776</v>
      </c>
      <c r="AN16" s="71" t="str">
        <f>IF(AF21*Assumptions!F20=0,"n.a.",AF21*Assumptions!F20)</f>
        <v>n.a.</v>
      </c>
      <c r="AO16" s="72">
        <f>SUM(AL16:AN16)</f>
        <v>303010.0992123599</v>
      </c>
      <c r="AP16" s="67">
        <f>AO16/$AO$19</f>
        <v>0.00920636691327984</v>
      </c>
      <c r="AQ16" s="73"/>
    </row>
    <row r="17" spans="3:43" ht="38.25" customHeight="1" thickBot="1" thickTop="1">
      <c r="C17" s="51" t="s">
        <v>80</v>
      </c>
      <c r="D17" s="5"/>
      <c r="E17" s="1391"/>
      <c r="F17" s="61" t="s">
        <v>81</v>
      </c>
      <c r="G17" s="80" t="s">
        <v>119</v>
      </c>
      <c r="H17" s="188"/>
      <c r="I17" s="189"/>
      <c r="J17" s="190"/>
      <c r="K17" s="191"/>
      <c r="L17" s="964"/>
      <c r="M17" s="980"/>
      <c r="N17" s="980"/>
      <c r="O17" s="968"/>
      <c r="P17" s="968"/>
      <c r="Q17" s="968"/>
      <c r="R17" s="969"/>
      <c r="S17" s="193"/>
      <c r="T17" s="192"/>
      <c r="U17" s="194"/>
      <c r="V17" s="981"/>
      <c r="W17" s="973"/>
      <c r="X17" s="973"/>
      <c r="Y17" s="974">
        <f aca="true" t="shared" si="4" ref="Y17:Y24">W17*23.884+X17*85.984</f>
        <v>0</v>
      </c>
      <c r="Z17" s="195"/>
      <c r="AA17" s="196"/>
      <c r="AB17" s="979"/>
      <c r="AC17" s="967"/>
      <c r="AD17" s="967"/>
      <c r="AE17" s="978"/>
      <c r="AF17" s="979">
        <f t="shared" si="1"/>
        <v>0</v>
      </c>
      <c r="AG17" s="31"/>
      <c r="AH17" s="51" t="s">
        <v>80</v>
      </c>
      <c r="AK17" s="431" t="s">
        <v>354</v>
      </c>
      <c r="AL17" s="74">
        <f>SUM(AL14:AL16)</f>
        <v>8593778.062315945</v>
      </c>
      <c r="AM17" s="75">
        <f>SUM(AM14:AM16)</f>
        <v>18595560.036982283</v>
      </c>
      <c r="AN17" s="75">
        <f>SUM(AN14:AN16)</f>
        <v>5723764.546576027</v>
      </c>
      <c r="AO17" s="1443"/>
      <c r="AP17" s="1444"/>
      <c r="AQ17" s="76">
        <f>SUM(AL17:AN17)</f>
        <v>32913102.645874254</v>
      </c>
    </row>
    <row r="18" spans="3:43" ht="38.25" customHeight="1" thickBot="1" thickTop="1">
      <c r="C18" s="60" t="s">
        <v>82</v>
      </c>
      <c r="D18" s="5"/>
      <c r="E18" s="1391"/>
      <c r="F18" s="61" t="s">
        <v>83</v>
      </c>
      <c r="G18" s="80" t="s">
        <v>119</v>
      </c>
      <c r="H18" s="188">
        <v>15047558.059317732</v>
      </c>
      <c r="I18" s="189">
        <v>321000</v>
      </c>
      <c r="J18" s="190">
        <v>337053</v>
      </c>
      <c r="K18" s="191">
        <f t="shared" si="2"/>
        <v>15031505.059317732</v>
      </c>
      <c r="L18" s="964"/>
      <c r="M18" s="197">
        <v>1122620</v>
      </c>
      <c r="N18" s="197">
        <v>10202000</v>
      </c>
      <c r="O18" s="985">
        <v>0</v>
      </c>
      <c r="P18" s="968"/>
      <c r="Q18" s="968"/>
      <c r="R18" s="969"/>
      <c r="S18" s="193">
        <v>349884.8493193584</v>
      </c>
      <c r="T18" s="192">
        <v>227048.26179432517</v>
      </c>
      <c r="U18" s="194">
        <v>1761891.7398141373</v>
      </c>
      <c r="V18" s="981">
        <f t="shared" si="0"/>
        <v>2338824.850927821</v>
      </c>
      <c r="W18" s="193">
        <v>11651.0484924</v>
      </c>
      <c r="X18" s="193">
        <v>1166.6573090000002</v>
      </c>
      <c r="Y18" s="979">
        <v>378594.98435081687</v>
      </c>
      <c r="Z18" s="195">
        <v>257014.1102978763</v>
      </c>
      <c r="AA18" s="196">
        <v>145727.09205218486</v>
      </c>
      <c r="AB18" s="979">
        <f t="shared" si="3"/>
        <v>402741.20235006115</v>
      </c>
      <c r="AC18" s="192">
        <v>739049</v>
      </c>
      <c r="AD18" s="192">
        <v>242323</v>
      </c>
      <c r="AE18" s="978"/>
      <c r="AF18" s="979">
        <f t="shared" si="1"/>
        <v>981372</v>
      </c>
      <c r="AG18" s="31"/>
      <c r="AH18" s="60" t="s">
        <v>82</v>
      </c>
      <c r="AK18" s="431" t="s">
        <v>70</v>
      </c>
      <c r="AL18" s="78">
        <f>AL17/$AQ$17</f>
        <v>0.26110507279669054</v>
      </c>
      <c r="AM18" s="78">
        <f>AM17/$AQ$17</f>
        <v>0.5649895798964819</v>
      </c>
      <c r="AN18" s="78">
        <f>AN17/$AQ$17</f>
        <v>0.17390534730682755</v>
      </c>
      <c r="AO18" s="1445"/>
      <c r="AP18" s="1446"/>
      <c r="AQ18" s="57"/>
    </row>
    <row r="19" spans="3:43" ht="38.25" customHeight="1" thickBot="1">
      <c r="C19" s="51" t="s">
        <v>84</v>
      </c>
      <c r="D19" s="5"/>
      <c r="E19" s="1391"/>
      <c r="F19" s="61" t="s">
        <v>409</v>
      </c>
      <c r="G19" s="80" t="s">
        <v>119</v>
      </c>
      <c r="H19" s="198"/>
      <c r="I19" s="189"/>
      <c r="J19" s="190"/>
      <c r="K19" s="191"/>
      <c r="L19" s="964"/>
      <c r="M19" s="980"/>
      <c r="N19" s="980"/>
      <c r="O19" s="968"/>
      <c r="P19" s="199">
        <v>636093.55</v>
      </c>
      <c r="Q19" s="968"/>
      <c r="R19" s="969"/>
      <c r="S19" s="970"/>
      <c r="T19" s="967"/>
      <c r="U19" s="971"/>
      <c r="V19" s="986"/>
      <c r="W19" s="973"/>
      <c r="X19" s="973"/>
      <c r="Y19" s="974">
        <f t="shared" si="4"/>
        <v>0</v>
      </c>
      <c r="Z19" s="195"/>
      <c r="AA19" s="196"/>
      <c r="AB19" s="979"/>
      <c r="AC19" s="967"/>
      <c r="AD19" s="967"/>
      <c r="AE19" s="971"/>
      <c r="AF19" s="979">
        <f t="shared" si="1"/>
        <v>0</v>
      </c>
      <c r="AG19" s="31"/>
      <c r="AH19" s="51" t="s">
        <v>84</v>
      </c>
      <c r="AK19" s="1447"/>
      <c r="AL19" s="1447"/>
      <c r="AM19" s="1447"/>
      <c r="AN19" s="1448"/>
      <c r="AO19" s="79">
        <f>SUM(AO14:AO16)</f>
        <v>32913102.645874258</v>
      </c>
      <c r="AP19" s="1449"/>
      <c r="AQ19" s="1447"/>
    </row>
    <row r="20" spans="3:43" ht="28.5" customHeight="1" thickBot="1">
      <c r="C20" s="60" t="s">
        <v>85</v>
      </c>
      <c r="D20" s="5"/>
      <c r="E20" s="1391"/>
      <c r="F20" s="61" t="s">
        <v>86</v>
      </c>
      <c r="G20" s="80" t="s">
        <v>87</v>
      </c>
      <c r="H20" s="198"/>
      <c r="I20" s="189"/>
      <c r="J20" s="190"/>
      <c r="K20" s="191"/>
      <c r="L20" s="964"/>
      <c r="M20" s="980"/>
      <c r="N20" s="980"/>
      <c r="O20" s="968"/>
      <c r="P20" s="968"/>
      <c r="Q20" s="968"/>
      <c r="R20" s="969"/>
      <c r="S20" s="987"/>
      <c r="T20" s="988"/>
      <c r="U20" s="989"/>
      <c r="V20" s="986"/>
      <c r="W20" s="990"/>
      <c r="X20" s="990"/>
      <c r="Y20" s="974">
        <f t="shared" si="4"/>
        <v>0</v>
      </c>
      <c r="Z20" s="200"/>
      <c r="AA20" s="201"/>
      <c r="AB20" s="979"/>
      <c r="AC20" s="991"/>
      <c r="AD20" s="991"/>
      <c r="AE20" s="992"/>
      <c r="AF20" s="979">
        <f t="shared" si="1"/>
        <v>0</v>
      </c>
      <c r="AG20" s="31"/>
      <c r="AH20" s="60" t="s">
        <v>85</v>
      </c>
      <c r="AK20" s="57"/>
      <c r="AL20" s="545"/>
      <c r="AM20" s="57"/>
      <c r="AN20" s="57"/>
      <c r="AO20" s="82"/>
      <c r="AP20" s="81"/>
      <c r="AQ20" s="57"/>
    </row>
    <row r="21" spans="3:43" ht="28.5" customHeight="1" thickBot="1">
      <c r="C21" s="51" t="s">
        <v>88</v>
      </c>
      <c r="D21" s="5"/>
      <c r="E21" s="1391"/>
      <c r="F21" s="83" t="s">
        <v>89</v>
      </c>
      <c r="G21" s="84" t="s">
        <v>87</v>
      </c>
      <c r="H21" s="202">
        <v>202006.7988459051</v>
      </c>
      <c r="I21" s="203"/>
      <c r="J21" s="204">
        <v>0</v>
      </c>
      <c r="K21" s="191">
        <f t="shared" si="2"/>
        <v>202006.7988459051</v>
      </c>
      <c r="L21" s="964"/>
      <c r="M21" s="993"/>
      <c r="N21" s="993"/>
      <c r="O21" s="994"/>
      <c r="P21" s="994"/>
      <c r="Q21" s="994"/>
      <c r="R21" s="995"/>
      <c r="S21" s="193">
        <v>27908.806961526807</v>
      </c>
      <c r="T21" s="192">
        <v>8032.281478339896</v>
      </c>
      <c r="U21" s="194">
        <v>147785.98433807938</v>
      </c>
      <c r="V21" s="981">
        <f t="shared" si="0"/>
        <v>183727.07277794607</v>
      </c>
      <c r="W21" s="193">
        <v>1408.5183636</v>
      </c>
      <c r="X21" s="193">
        <v>108.428401</v>
      </c>
      <c r="Y21" s="224">
        <v>42965.047463456576</v>
      </c>
      <c r="Z21" s="195">
        <v>18063.900230233263</v>
      </c>
      <c r="AA21" s="196">
        <v>215.75980006058774</v>
      </c>
      <c r="AB21" s="979">
        <f t="shared" si="3"/>
        <v>18279.66003029385</v>
      </c>
      <c r="AC21" s="996"/>
      <c r="AD21" s="996"/>
      <c r="AE21" s="978"/>
      <c r="AF21" s="979">
        <f t="shared" si="1"/>
        <v>0</v>
      </c>
      <c r="AG21" s="31"/>
      <c r="AH21" s="51" t="s">
        <v>88</v>
      </c>
      <c r="AK21" s="57"/>
      <c r="AL21" s="57"/>
      <c r="AM21" s="57"/>
      <c r="AN21" s="538" t="s">
        <v>47</v>
      </c>
      <c r="AO21" s="539" t="s">
        <v>70</v>
      </c>
      <c r="AP21" s="81"/>
      <c r="AQ21" s="57"/>
    </row>
    <row r="22" spans="3:43" ht="28.5" customHeight="1" thickBot="1">
      <c r="C22" s="60" t="s">
        <v>90</v>
      </c>
      <c r="D22" s="5"/>
      <c r="E22" s="1391"/>
      <c r="F22" s="61" t="s">
        <v>91</v>
      </c>
      <c r="G22" s="80" t="s">
        <v>120</v>
      </c>
      <c r="H22" s="188">
        <v>21785635.3333333</v>
      </c>
      <c r="I22" s="189"/>
      <c r="J22" s="190"/>
      <c r="K22" s="191">
        <f t="shared" si="2"/>
        <v>21785635.3333333</v>
      </c>
      <c r="L22" s="997"/>
      <c r="M22" s="998"/>
      <c r="N22" s="999"/>
      <c r="O22" s="1000"/>
      <c r="P22" s="1000"/>
      <c r="Q22" s="999"/>
      <c r="R22" s="1001"/>
      <c r="S22" s="193">
        <v>696041.5572739168</v>
      </c>
      <c r="T22" s="192">
        <v>1433856.0741385724</v>
      </c>
      <c r="U22" s="194">
        <v>7910785.342116156</v>
      </c>
      <c r="V22" s="981">
        <f t="shared" si="0"/>
        <v>10040682.973528646</v>
      </c>
      <c r="W22" s="193">
        <v>7381.6969032</v>
      </c>
      <c r="X22" s="193">
        <v>1732.292246</v>
      </c>
      <c r="Y22" s="979">
        <v>325259.1236457437</v>
      </c>
      <c r="Z22" s="195">
        <v>10775723.58784682</v>
      </c>
      <c r="AA22" s="196">
        <v>969228.1126366331</v>
      </c>
      <c r="AB22" s="979">
        <f t="shared" si="3"/>
        <v>11744951.700483453</v>
      </c>
      <c r="AC22" s="996"/>
      <c r="AD22" s="996"/>
      <c r="AE22" s="978"/>
      <c r="AF22" s="979">
        <f t="shared" si="1"/>
        <v>0</v>
      </c>
      <c r="AG22" s="31"/>
      <c r="AH22" s="60" t="s">
        <v>90</v>
      </c>
      <c r="AK22" s="57"/>
      <c r="AL22" s="96" t="s">
        <v>349</v>
      </c>
      <c r="AM22" s="97"/>
      <c r="AN22" s="98">
        <f>(K13+K14+K20)</f>
        <v>63578611.1846435</v>
      </c>
      <c r="AO22" s="99">
        <v>1</v>
      </c>
      <c r="AP22" s="81"/>
      <c r="AQ22" s="57"/>
    </row>
    <row r="23" spans="3:41" ht="28.5" customHeight="1" thickBot="1">
      <c r="C23" s="51" t="s">
        <v>94</v>
      </c>
      <c r="D23" s="5"/>
      <c r="E23" s="1391"/>
      <c r="F23" s="61" t="s">
        <v>95</v>
      </c>
      <c r="G23" s="80" t="s">
        <v>99</v>
      </c>
      <c r="H23" s="1002"/>
      <c r="I23" s="189">
        <v>1783</v>
      </c>
      <c r="J23" s="190">
        <v>13.757</v>
      </c>
      <c r="K23" s="191">
        <f t="shared" si="2"/>
        <v>1769.243</v>
      </c>
      <c r="L23" s="997"/>
      <c r="M23" s="999"/>
      <c r="N23" s="999"/>
      <c r="O23" s="999"/>
      <c r="P23" s="999"/>
      <c r="Q23" s="999"/>
      <c r="R23" s="1003"/>
      <c r="S23" s="205"/>
      <c r="T23" s="192"/>
      <c r="U23" s="194"/>
      <c r="V23" s="972"/>
      <c r="W23" s="973"/>
      <c r="X23" s="973"/>
      <c r="Y23" s="974">
        <f t="shared" si="4"/>
        <v>0</v>
      </c>
      <c r="Z23" s="1004"/>
      <c r="AA23" s="976"/>
      <c r="AB23" s="977"/>
      <c r="AC23" s="996"/>
      <c r="AD23" s="996"/>
      <c r="AE23" s="978"/>
      <c r="AF23" s="983">
        <f>K23</f>
        <v>1769.243</v>
      </c>
      <c r="AG23" s="31"/>
      <c r="AH23" s="51" t="s">
        <v>94</v>
      </c>
      <c r="AL23" s="96" t="s">
        <v>93</v>
      </c>
      <c r="AM23" s="97"/>
      <c r="AN23" s="100">
        <f>AQ17</f>
        <v>32913102.645874254</v>
      </c>
      <c r="AO23" s="101">
        <f>AN23/AN22</f>
        <v>0.5176757093716439</v>
      </c>
    </row>
    <row r="24" spans="3:41" ht="28.5" customHeight="1" thickBot="1">
      <c r="C24" s="60" t="s">
        <v>97</v>
      </c>
      <c r="D24" s="5"/>
      <c r="E24" s="1391"/>
      <c r="F24" s="61" t="s">
        <v>98</v>
      </c>
      <c r="G24" s="102" t="s">
        <v>99</v>
      </c>
      <c r="H24" s="188">
        <v>191787</v>
      </c>
      <c r="I24" s="189">
        <v>221</v>
      </c>
      <c r="J24" s="190">
        <v>193503</v>
      </c>
      <c r="K24" s="191">
        <f t="shared" si="2"/>
        <v>-1495</v>
      </c>
      <c r="L24" s="997"/>
      <c r="M24" s="999"/>
      <c r="N24" s="999"/>
      <c r="O24" s="999"/>
      <c r="P24" s="999"/>
      <c r="Q24" s="999"/>
      <c r="R24" s="1003"/>
      <c r="S24" s="205">
        <v>3581.06</v>
      </c>
      <c r="T24" s="192">
        <v>0</v>
      </c>
      <c r="U24" s="194">
        <v>11655.938999999998</v>
      </c>
      <c r="V24" s="981">
        <f t="shared" si="0"/>
        <v>15236.998999999998</v>
      </c>
      <c r="W24" s="193">
        <v>173.76425279999998</v>
      </c>
      <c r="X24" s="193">
        <v>5.293799</v>
      </c>
      <c r="Y24" s="224">
        <f t="shared" si="4"/>
        <v>4605.3674270912</v>
      </c>
      <c r="Z24" s="195"/>
      <c r="AA24" s="196"/>
      <c r="AB24" s="979">
        <f t="shared" si="3"/>
        <v>0</v>
      </c>
      <c r="AC24" s="192">
        <v>16063</v>
      </c>
      <c r="AD24" s="1005">
        <v>0</v>
      </c>
      <c r="AE24" s="194">
        <v>23313.001000000004</v>
      </c>
      <c r="AF24" s="983">
        <f>SUM(AC24:AE24)</f>
        <v>39376.001000000004</v>
      </c>
      <c r="AG24" s="31"/>
      <c r="AH24" s="60" t="s">
        <v>97</v>
      </c>
      <c r="AL24" s="96" t="s">
        <v>551</v>
      </c>
      <c r="AM24" s="97"/>
      <c r="AN24" s="98"/>
      <c r="AO24" s="99">
        <f>AO14/AN23</f>
        <v>0.20668149727340834</v>
      </c>
    </row>
    <row r="25" spans="3:41" ht="28.5" customHeight="1" thickBot="1">
      <c r="C25" s="104" t="s">
        <v>100</v>
      </c>
      <c r="D25" s="5"/>
      <c r="E25" s="1392"/>
      <c r="F25" s="105" t="s">
        <v>101</v>
      </c>
      <c r="G25" s="249" t="s">
        <v>428</v>
      </c>
      <c r="H25" s="1006"/>
      <c r="I25" s="1006"/>
      <c r="J25" s="1007"/>
      <c r="K25" s="1008"/>
      <c r="L25" s="1006"/>
      <c r="M25" s="1009"/>
      <c r="N25" s="1009"/>
      <c r="O25" s="1009"/>
      <c r="P25" s="1009"/>
      <c r="Q25" s="1009"/>
      <c r="R25" s="1007"/>
      <c r="S25" s="1006"/>
      <c r="T25" s="1009"/>
      <c r="U25" s="1007"/>
      <c r="V25" s="1010"/>
      <c r="W25" s="235">
        <v>4698.2478456</v>
      </c>
      <c r="X25" s="236">
        <v>5327.902647000001</v>
      </c>
      <c r="Y25" s="1011">
        <v>570332.888478074</v>
      </c>
      <c r="Z25" s="1012">
        <v>7375654.193</v>
      </c>
      <c r="AA25" s="238">
        <v>1613887.295</v>
      </c>
      <c r="AB25" s="979">
        <f t="shared" si="3"/>
        <v>8989541.488</v>
      </c>
      <c r="AC25" s="1006"/>
      <c r="AD25" s="1009"/>
      <c r="AE25" s="1013"/>
      <c r="AF25" s="983">
        <f>SUM(AC25:AE25)</f>
        <v>0</v>
      </c>
      <c r="AG25" s="31"/>
      <c r="AH25" s="104" t="s">
        <v>100</v>
      </c>
      <c r="AL25" s="96" t="s">
        <v>552</v>
      </c>
      <c r="AM25" s="103"/>
      <c r="AN25" s="98">
        <f>IF(AB25+V25=0,"n.a.",(AB25+Y25)*2)</f>
        <v>19119748.75295615</v>
      </c>
      <c r="AO25" s="99">
        <f>IF(AN25/AN23=0,"n.a.",AN25/AN23)</f>
        <v>0.5809160248024463</v>
      </c>
    </row>
    <row r="26" spans="3:43" s="108" customFormat="1" ht="28.5" customHeight="1" thickBot="1">
      <c r="C26" s="104" t="s">
        <v>103</v>
      </c>
      <c r="D26" s="109"/>
      <c r="E26" s="110"/>
      <c r="F26" s="111"/>
      <c r="G26" s="112"/>
      <c r="H26" s="207"/>
      <c r="I26" s="207"/>
      <c r="J26" s="207"/>
      <c r="K26" s="207"/>
      <c r="L26" s="241"/>
      <c r="M26" s="241"/>
      <c r="N26" s="241"/>
      <c r="O26" s="241"/>
      <c r="P26" s="241"/>
      <c r="Q26" s="242"/>
      <c r="R26" s="243" t="s">
        <v>104</v>
      </c>
      <c r="S26" s="208"/>
      <c r="T26" s="208"/>
      <c r="U26" s="208"/>
      <c r="V26" s="209"/>
      <c r="W26" s="208"/>
      <c r="X26" s="244"/>
      <c r="Y26" s="122">
        <f>W26*23.884+X26*85.984</f>
        <v>0</v>
      </c>
      <c r="Z26" s="245"/>
      <c r="AA26" s="246"/>
      <c r="AB26" s="247"/>
      <c r="AC26" s="245"/>
      <c r="AD26" s="248"/>
      <c r="AE26" s="246"/>
      <c r="AF26" s="247"/>
      <c r="AG26" s="127"/>
      <c r="AH26" s="104" t="s">
        <v>103</v>
      </c>
      <c r="AJ26" s="1"/>
      <c r="AK26" s="1"/>
      <c r="AL26" s="96" t="s">
        <v>102</v>
      </c>
      <c r="AM26" s="97"/>
      <c r="AN26" s="107">
        <f>AO14/AL9</f>
        <v>1.3003337049559214</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7783000</v>
      </c>
      <c r="AC27" s="134"/>
      <c r="AD27" s="5"/>
      <c r="AE27" s="5"/>
      <c r="AF27" s="135"/>
      <c r="AG27" s="31"/>
      <c r="AH27" s="136"/>
      <c r="AL27" s="96" t="s">
        <v>105</v>
      </c>
      <c r="AM27" s="103"/>
      <c r="AN27" s="107">
        <f>((AN23/Assumptions!F20)*Assumptions!F30/1000000)</f>
        <v>7.054375000432382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483</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49869.16877592001</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1.1873611613314288</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80" r:id="rId4"/>
  <drawing r:id="rId3"/>
  <legacyDrawing r:id="rId2"/>
</worksheet>
</file>

<file path=xl/worksheets/sheet16.xml><?xml version="1.0" encoding="utf-8"?>
<worksheet xmlns="http://schemas.openxmlformats.org/spreadsheetml/2006/main" xmlns:r="http://schemas.openxmlformats.org/officeDocument/2006/relationships">
  <sheetPr codeName="Tabelle23">
    <tabColor indexed="11"/>
  </sheetPr>
  <dimension ref="C1:AS95"/>
  <sheetViews>
    <sheetView zoomScale="75" zoomScaleNormal="75" zoomScaleSheetLayoutView="100" workbookViewId="0" topLeftCell="AF6">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0.7109375" style="159" customWidth="1"/>
    <col min="10" max="10" width="8.57421875" style="159" customWidth="1"/>
    <col min="11" max="11" width="10.140625" style="169" bestFit="1" customWidth="1"/>
    <col min="12" max="12" width="11.57421875" style="159" customWidth="1"/>
    <col min="13" max="13" width="8.57421875" style="159" customWidth="1"/>
    <col min="14" max="14" width="13.140625" style="159" customWidth="1"/>
    <col min="15" max="15" width="10.28125" style="1" customWidth="1"/>
    <col min="16" max="16" width="8.57421875" style="1" customWidth="1"/>
    <col min="17" max="17" width="8.14062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9.42187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239</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Germany</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463</v>
      </c>
      <c r="T9" s="1379"/>
      <c r="U9" s="1379"/>
      <c r="V9" s="1379"/>
      <c r="W9" s="1379"/>
      <c r="X9" s="1379"/>
      <c r="Y9" s="1379"/>
      <c r="Z9" s="1379"/>
      <c r="AA9" s="1379"/>
      <c r="AB9" s="1379"/>
      <c r="AC9" s="1379"/>
      <c r="AD9" s="1379"/>
      <c r="AE9" s="1433"/>
      <c r="AF9" s="1434"/>
      <c r="AG9" s="31"/>
      <c r="AH9" s="31"/>
      <c r="AJ9" s="1365" t="s">
        <v>33</v>
      </c>
      <c r="AK9" s="1366"/>
      <c r="AL9" s="535">
        <v>82422299</v>
      </c>
      <c r="AM9" s="35"/>
    </row>
    <row r="10" spans="3:40" ht="39" customHeight="1" thickBot="1">
      <c r="C10" s="13"/>
      <c r="D10" s="5"/>
      <c r="E10" s="33"/>
      <c r="F10" s="1430"/>
      <c r="G10" s="1431"/>
      <c r="H10" s="1353"/>
      <c r="I10" s="1364"/>
      <c r="J10" s="1351"/>
      <c r="K10" s="1353"/>
      <c r="L10" s="1372"/>
      <c r="M10" s="1373"/>
      <c r="N10" s="1373"/>
      <c r="O10" s="1373"/>
      <c r="P10" s="1373"/>
      <c r="Q10" s="1373"/>
      <c r="R10" s="1374"/>
      <c r="S10" s="1459" t="s">
        <v>464</v>
      </c>
      <c r="T10" s="1460"/>
      <c r="U10" s="1460"/>
      <c r="V10" s="1460"/>
      <c r="W10" s="1460"/>
      <c r="X10" s="1460"/>
      <c r="Y10" s="1460"/>
      <c r="Z10" s="1460"/>
      <c r="AA10" s="1460"/>
      <c r="AB10" s="1460"/>
      <c r="AC10" s="1460"/>
      <c r="AD10" s="1460"/>
      <c r="AE10" s="1460"/>
      <c r="AF10" s="1461"/>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c r="T11" s="1388"/>
      <c r="U11" s="1388"/>
      <c r="V11" s="1388"/>
      <c r="W11" s="1387"/>
      <c r="X11" s="1388"/>
      <c r="Y11" s="1389"/>
      <c r="Z11" s="1380"/>
      <c r="AA11" s="1381"/>
      <c r="AB11" s="1412"/>
      <c r="AC11" s="1457" t="s">
        <v>44</v>
      </c>
      <c r="AD11" s="1437"/>
      <c r="AE11" s="1383"/>
      <c r="AF11" s="1416" t="s">
        <v>47</v>
      </c>
      <c r="AG11" s="31"/>
      <c r="AH11" s="31"/>
      <c r="AJ11" s="1441"/>
      <c r="AK11" s="1442"/>
      <c r="AL11" s="537">
        <f>AQ17/AL9</f>
        <v>0.3672622623642177</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c r="T12" s="1159" t="s">
        <v>465</v>
      </c>
      <c r="U12" s="1160" t="s">
        <v>466</v>
      </c>
      <c r="V12" s="46" t="s">
        <v>55</v>
      </c>
      <c r="W12" s="47"/>
      <c r="X12" s="37"/>
      <c r="Y12" s="46" t="s">
        <v>58</v>
      </c>
      <c r="Z12" s="48"/>
      <c r="AA12" s="49"/>
      <c r="AB12" s="46" t="s">
        <v>61</v>
      </c>
      <c r="AC12" s="1458"/>
      <c r="AD12" s="1438"/>
      <c r="AE12" s="1384"/>
      <c r="AF12" s="1462"/>
      <c r="AG12" s="31"/>
      <c r="AH12" s="50"/>
    </row>
    <row r="13" spans="3:45" ht="38.25" customHeight="1" thickBot="1" thickTop="1">
      <c r="C13" s="51" t="s">
        <v>62</v>
      </c>
      <c r="D13" s="5"/>
      <c r="E13" s="1390" t="s">
        <v>63</v>
      </c>
      <c r="F13" s="52" t="s">
        <v>64</v>
      </c>
      <c r="G13" s="1075" t="s">
        <v>440</v>
      </c>
      <c r="H13" s="1076">
        <v>57.487</v>
      </c>
      <c r="I13" s="1077">
        <v>1.915</v>
      </c>
      <c r="J13" s="1078">
        <v>4.748</v>
      </c>
      <c r="K13" s="1079">
        <f>H13+I13-J13</f>
        <v>54.654</v>
      </c>
      <c r="L13" s="1080">
        <v>33.369</v>
      </c>
      <c r="M13" s="1081">
        <v>9.994</v>
      </c>
      <c r="N13" s="1081">
        <v>5.203</v>
      </c>
      <c r="O13" s="1082">
        <v>0.503</v>
      </c>
      <c r="P13" s="1083" t="s">
        <v>441</v>
      </c>
      <c r="Q13" s="1083" t="s">
        <v>441</v>
      </c>
      <c r="R13" s="1084" t="s">
        <v>441</v>
      </c>
      <c r="S13" s="1085"/>
      <c r="T13" s="1081">
        <v>0.216</v>
      </c>
      <c r="U13" s="1086">
        <v>0.018</v>
      </c>
      <c r="V13" s="1087">
        <f>T13+U13</f>
        <v>0.23399999999999999</v>
      </c>
      <c r="W13" s="1085"/>
      <c r="X13" s="1088"/>
      <c r="Y13" s="1089">
        <f>W13*23.884+X13*85.984</f>
        <v>0</v>
      </c>
      <c r="Z13" s="961"/>
      <c r="AA13" s="962"/>
      <c r="AB13" s="963"/>
      <c r="AC13" s="1090">
        <v>5.351</v>
      </c>
      <c r="AD13" s="1091"/>
      <c r="AE13" s="1091"/>
      <c r="AF13" s="1146">
        <f>AC13</f>
        <v>5.351</v>
      </c>
      <c r="AG13" s="1150">
        <f>W13+AD13</f>
        <v>0</v>
      </c>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486" t="s">
        <v>440</v>
      </c>
      <c r="H14" s="1463">
        <v>7.098</v>
      </c>
      <c r="I14" s="1466" t="s">
        <v>441</v>
      </c>
      <c r="J14" s="1469" t="s">
        <v>441</v>
      </c>
      <c r="K14" s="1477">
        <f>H14</f>
        <v>7.098</v>
      </c>
      <c r="L14" s="1092"/>
      <c r="M14" s="1093"/>
      <c r="N14" s="1093"/>
      <c r="O14" s="1094"/>
      <c r="P14" s="1095"/>
      <c r="Q14" s="1096"/>
      <c r="R14" s="1097"/>
      <c r="S14" s="1098"/>
      <c r="T14" s="1489">
        <v>0.543</v>
      </c>
      <c r="U14" s="1480">
        <v>1.204</v>
      </c>
      <c r="V14" s="1483">
        <f>T14+U14</f>
        <v>1.7469999999999999</v>
      </c>
      <c r="W14" s="1098"/>
      <c r="X14" s="1098"/>
      <c r="Y14" s="1099">
        <f>W14*23.884+X14*85.984</f>
        <v>0</v>
      </c>
      <c r="Z14" s="1100"/>
      <c r="AA14" s="976"/>
      <c r="AB14" s="974"/>
      <c r="AC14" s="1492">
        <v>5.351</v>
      </c>
      <c r="AD14" s="1095"/>
      <c r="AE14" s="1101"/>
      <c r="AF14" s="1495">
        <f>AC14</f>
        <v>5.351</v>
      </c>
      <c r="AG14" s="1151">
        <f>W14+AD14</f>
        <v>0</v>
      </c>
      <c r="AH14" s="60" t="s">
        <v>71</v>
      </c>
      <c r="AK14" s="63" t="s">
        <v>73</v>
      </c>
      <c r="AL14" s="64">
        <f>IF(V13+V14+V15+V16+V17+(V20*Assumptions!F37)=0,"n.a.",V13+V14+V15+V16+V17+V20*Assumptions!F37)*1000000</f>
        <v>2320999.9999999995</v>
      </c>
      <c r="AM14" s="64" t="str">
        <f>IF(AB14+AB15+AB16+AB17+(AB20*Assumptions!F37)=0,"n.a.",AB14+AB15+AB16+AB17+(AB20*Assumptions!F37))</f>
        <v>n.a.</v>
      </c>
      <c r="AN14" s="65">
        <f>IF(AF14+AF15+AF16+AF17+(AF20*2)=0,"n.a.",(AF13+AF14+AF15+AF16+AF17+(AF20*Assumptions!F37))*1000000)</f>
        <v>10702000</v>
      </c>
      <c r="AO14" s="66">
        <f>SUM(AL14:AN14)</f>
        <v>13023000</v>
      </c>
      <c r="AP14" s="67">
        <f>AO14/$AO$19</f>
        <v>0.43021942082416603</v>
      </c>
      <c r="AQ14" s="57"/>
    </row>
    <row r="15" spans="3:43" ht="38.25" customHeight="1" thickBot="1">
      <c r="C15" s="51" t="s">
        <v>74</v>
      </c>
      <c r="D15" s="5"/>
      <c r="E15" s="1391"/>
      <c r="F15" s="61" t="s">
        <v>75</v>
      </c>
      <c r="G15" s="1487"/>
      <c r="H15" s="1464"/>
      <c r="I15" s="1467"/>
      <c r="J15" s="1470"/>
      <c r="K15" s="1478"/>
      <c r="L15" s="1092"/>
      <c r="M15" s="1102"/>
      <c r="N15" s="1102"/>
      <c r="O15" s="1096"/>
      <c r="P15" s="1096"/>
      <c r="Q15" s="1096"/>
      <c r="R15" s="1097"/>
      <c r="S15" s="1098"/>
      <c r="T15" s="1490"/>
      <c r="U15" s="1481"/>
      <c r="V15" s="1484"/>
      <c r="W15" s="1098"/>
      <c r="X15" s="1098"/>
      <c r="Y15" s="1099">
        <f aca="true" t="shared" si="0" ref="Y15:Y25">W15*23.884+X15*85.984</f>
        <v>0</v>
      </c>
      <c r="Z15" s="1100"/>
      <c r="AA15" s="976"/>
      <c r="AB15" s="974"/>
      <c r="AC15" s="1493"/>
      <c r="AD15" s="1095"/>
      <c r="AE15" s="1101"/>
      <c r="AF15" s="1496"/>
      <c r="AG15" s="1151"/>
      <c r="AH15" s="51" t="s">
        <v>74</v>
      </c>
      <c r="AK15" s="63" t="s">
        <v>76</v>
      </c>
      <c r="AL15" s="68">
        <f>IF(V18+V19+(V23*6)+(V24*2)+(V22*0.2)+V25=0,"n.a.",V18+V19+(V23*6)+(V24*2)+(V22*0.2)+V25)*1000000</f>
        <v>7036600</v>
      </c>
      <c r="AM15" s="68">
        <f>IF(AB18+AB19+AB23+(AB24*6)+(V25)+(AB22*0.2)=0,"n.a.",AB18+AB19+AB23+(AB24*6)+(V25)+(AB22*0.2))*1000000</f>
        <v>1696000</v>
      </c>
      <c r="AN15" s="69">
        <f>IF(AF18+AF19+(AF23*6)+(AF24*2)+AF22*0.2=0,"n.a.",(AF18+AF19+(AF23*Assumptions!F9)+(AF24*Assumptions!F6)+(AF22*Assumptions!F16))*1000000)</f>
        <v>1498000.0000000002</v>
      </c>
      <c r="AO15" s="66">
        <f>SUM(AL15:AN15)</f>
        <v>10230600</v>
      </c>
      <c r="AP15" s="67">
        <f>AO15/$AO$19</f>
        <v>0.33797149709619234</v>
      </c>
      <c r="AQ15" s="57"/>
    </row>
    <row r="16" spans="3:43" ht="38.25" customHeight="1" thickBot="1">
      <c r="C16" s="60" t="s">
        <v>77</v>
      </c>
      <c r="D16" s="5"/>
      <c r="E16" s="1391"/>
      <c r="F16" s="61" t="s">
        <v>78</v>
      </c>
      <c r="G16" s="1488"/>
      <c r="H16" s="1465"/>
      <c r="I16" s="1468"/>
      <c r="J16" s="1471"/>
      <c r="K16" s="1479"/>
      <c r="L16" s="1092"/>
      <c r="M16" s="1102"/>
      <c r="N16" s="1102"/>
      <c r="O16" s="1096"/>
      <c r="P16" s="1096"/>
      <c r="Q16" s="1096"/>
      <c r="R16" s="1097"/>
      <c r="S16" s="1098"/>
      <c r="T16" s="1491"/>
      <c r="U16" s="1482"/>
      <c r="V16" s="1485"/>
      <c r="W16" s="1098"/>
      <c r="X16" s="1098"/>
      <c r="Y16" s="1099">
        <f t="shared" si="0"/>
        <v>0</v>
      </c>
      <c r="Z16" s="1100"/>
      <c r="AA16" s="976"/>
      <c r="AB16" s="1105"/>
      <c r="AC16" s="1494"/>
      <c r="AD16" s="1095"/>
      <c r="AE16" s="1101"/>
      <c r="AF16" s="1497"/>
      <c r="AG16" s="1151"/>
      <c r="AH16" s="60" t="s">
        <v>77</v>
      </c>
      <c r="AK16" s="430" t="s">
        <v>79</v>
      </c>
      <c r="AL16" s="70">
        <f>IF(V21*1.5=0,"n.a.",V21*Assumptions!F20)*1000000</f>
        <v>6005999.999999999</v>
      </c>
      <c r="AM16" s="70" t="str">
        <f>IF(AB21*1.5=0,"n.a.",AB21*Assumptions!F20)</f>
        <v>n.a.</v>
      </c>
      <c r="AN16" s="71">
        <f>IF(AF21*1.5=0,"n.a.",AF21*Assumptions!F20)*1000000</f>
        <v>1011000.0000000001</v>
      </c>
      <c r="AO16" s="72">
        <f>SUM(AL16:AN16)</f>
        <v>7016999.999999999</v>
      </c>
      <c r="AP16" s="67">
        <f>AO16/$AO$19</f>
        <v>0.2318090820796416</v>
      </c>
      <c r="AQ16" s="73"/>
    </row>
    <row r="17" spans="3:43" ht="38.25" customHeight="1" thickBot="1" thickTop="1">
      <c r="C17" s="51" t="s">
        <v>80</v>
      </c>
      <c r="D17" s="5"/>
      <c r="E17" s="1391"/>
      <c r="F17" s="61" t="s">
        <v>81</v>
      </c>
      <c r="G17" s="80" t="s">
        <v>119</v>
      </c>
      <c r="H17" s="1106">
        <v>0.006</v>
      </c>
      <c r="I17" s="1107" t="s">
        <v>441</v>
      </c>
      <c r="J17" s="1108" t="s">
        <v>441</v>
      </c>
      <c r="K17" s="1109">
        <f>H17</f>
        <v>0.006</v>
      </c>
      <c r="L17" s="1092"/>
      <c r="M17" s="1472" t="s">
        <v>441</v>
      </c>
      <c r="N17" s="1473"/>
      <c r="O17" s="1473"/>
      <c r="P17" s="1473"/>
      <c r="Q17" s="1473"/>
      <c r="R17" s="1474"/>
      <c r="S17" s="1098"/>
      <c r="T17" s="1472" t="s">
        <v>441</v>
      </c>
      <c r="U17" s="1475"/>
      <c r="V17" s="1110"/>
      <c r="W17" s="1098"/>
      <c r="X17" s="1098"/>
      <c r="Y17" s="1099">
        <f t="shared" si="0"/>
        <v>0</v>
      </c>
      <c r="Z17" s="1100"/>
      <c r="AA17" s="976"/>
      <c r="AB17" s="974"/>
      <c r="AC17" s="1476" t="s">
        <v>441</v>
      </c>
      <c r="AD17" s="1473"/>
      <c r="AE17" s="1473"/>
      <c r="AF17" s="1473"/>
      <c r="AG17" s="1152"/>
      <c r="AH17" s="51" t="s">
        <v>80</v>
      </c>
      <c r="AK17" s="431" t="s">
        <v>354</v>
      </c>
      <c r="AL17" s="74">
        <f>SUM(AL14:AL16)</f>
        <v>15363600</v>
      </c>
      <c r="AM17" s="75">
        <f>SUM(AM14:AM16)</f>
        <v>1696000</v>
      </c>
      <c r="AN17" s="75">
        <f>SUM(AN14:AN16)</f>
        <v>13211000</v>
      </c>
      <c r="AO17" s="1443"/>
      <c r="AP17" s="1444"/>
      <c r="AQ17" s="76">
        <f>SUM(AL17:AN17)</f>
        <v>30270600</v>
      </c>
    </row>
    <row r="18" spans="3:43" ht="38.25" customHeight="1" thickBot="1" thickTop="1">
      <c r="C18" s="60" t="s">
        <v>82</v>
      </c>
      <c r="D18" s="5"/>
      <c r="E18" s="1391"/>
      <c r="F18" s="61" t="s">
        <v>83</v>
      </c>
      <c r="G18" s="1111" t="s">
        <v>440</v>
      </c>
      <c r="H18" s="1112">
        <v>12.425</v>
      </c>
      <c r="I18" s="1113">
        <v>0.362</v>
      </c>
      <c r="J18" s="1114">
        <v>0.953</v>
      </c>
      <c r="K18" s="1109">
        <f>H18+I18-J18</f>
        <v>11.834000000000001</v>
      </c>
      <c r="L18" s="1115">
        <v>0.226</v>
      </c>
      <c r="M18" s="1116">
        <v>5.893</v>
      </c>
      <c r="N18" s="1102">
        <v>3.285</v>
      </c>
      <c r="O18" s="1096">
        <v>0.288</v>
      </c>
      <c r="P18" s="1117" t="s">
        <v>441</v>
      </c>
      <c r="Q18" s="1117" t="s">
        <v>441</v>
      </c>
      <c r="R18" s="1118" t="s">
        <v>441</v>
      </c>
      <c r="S18" s="1098"/>
      <c r="T18" s="1095">
        <v>1.276</v>
      </c>
      <c r="U18" s="1101">
        <v>0.435</v>
      </c>
      <c r="V18" s="1110">
        <f>T18+U18</f>
        <v>1.711</v>
      </c>
      <c r="W18" s="1098"/>
      <c r="X18" s="1098"/>
      <c r="Y18" s="1099">
        <f t="shared" si="0"/>
        <v>0</v>
      </c>
      <c r="Z18" s="1100"/>
      <c r="AA18" s="976"/>
      <c r="AB18" s="974"/>
      <c r="AC18" s="1095">
        <v>0.432</v>
      </c>
      <c r="AD18" s="1095"/>
      <c r="AE18" s="1101"/>
      <c r="AF18" s="1147">
        <f>AC18</f>
        <v>0.432</v>
      </c>
      <c r="AG18" s="1150">
        <f>W18+AD18</f>
        <v>0</v>
      </c>
      <c r="AH18" s="60" t="s">
        <v>82</v>
      </c>
      <c r="AK18" s="431" t="s">
        <v>70</v>
      </c>
      <c r="AL18" s="78">
        <f>AL17/$AQ$17</f>
        <v>0.5075419714178113</v>
      </c>
      <c r="AM18" s="78">
        <f>AM17/$AQ$17</f>
        <v>0.0560279611239949</v>
      </c>
      <c r="AN18" s="78">
        <f>AN17/$AQ$17</f>
        <v>0.43643006745819374</v>
      </c>
      <c r="AO18" s="1445"/>
      <c r="AP18" s="1446"/>
      <c r="AQ18" s="57"/>
    </row>
    <row r="19" spans="3:43" ht="38.25" customHeight="1" thickBot="1">
      <c r="C19" s="51" t="s">
        <v>84</v>
      </c>
      <c r="D19" s="5"/>
      <c r="E19" s="1391"/>
      <c r="F19" s="61" t="s">
        <v>409</v>
      </c>
      <c r="G19" s="1111" t="s">
        <v>440</v>
      </c>
      <c r="H19" s="1119">
        <v>4.875</v>
      </c>
      <c r="I19" s="1120" t="s">
        <v>442</v>
      </c>
      <c r="J19" s="1121" t="s">
        <v>442</v>
      </c>
      <c r="K19" s="1109">
        <f>H19</f>
        <v>4.875</v>
      </c>
      <c r="L19" s="1092"/>
      <c r="M19" s="1102">
        <v>0.945</v>
      </c>
      <c r="N19" s="1102">
        <v>0</v>
      </c>
      <c r="O19" s="1096">
        <v>0.788</v>
      </c>
      <c r="P19" s="1117" t="s">
        <v>441</v>
      </c>
      <c r="Q19" s="1117" t="s">
        <v>441</v>
      </c>
      <c r="R19" s="1118" t="s">
        <v>441</v>
      </c>
      <c r="S19" s="1098"/>
      <c r="T19" s="1095">
        <v>2.77</v>
      </c>
      <c r="U19" s="1101">
        <v>0.372</v>
      </c>
      <c r="V19" s="1110">
        <f>T19+U19</f>
        <v>3.142</v>
      </c>
      <c r="W19" s="1098"/>
      <c r="X19" s="1098"/>
      <c r="Y19" s="1099">
        <f t="shared" si="0"/>
        <v>0</v>
      </c>
      <c r="Z19" s="1100"/>
      <c r="AA19" s="1122"/>
      <c r="AB19" s="1105"/>
      <c r="AC19" s="1095">
        <v>0</v>
      </c>
      <c r="AD19" s="1095"/>
      <c r="AE19" s="1101"/>
      <c r="AF19" s="1147">
        <f>AC19</f>
        <v>0</v>
      </c>
      <c r="AG19" s="1150">
        <f>W19+AD19</f>
        <v>0</v>
      </c>
      <c r="AH19" s="51" t="s">
        <v>84</v>
      </c>
      <c r="AK19" s="1447"/>
      <c r="AL19" s="1447"/>
      <c r="AM19" s="1447"/>
      <c r="AN19" s="1448"/>
      <c r="AO19" s="79">
        <f>SUM(AO14:AO16)</f>
        <v>30270600</v>
      </c>
      <c r="AP19" s="1449"/>
      <c r="AQ19" s="1447"/>
    </row>
    <row r="20" spans="3:43" ht="43.5" customHeight="1" thickBot="1">
      <c r="C20" s="60" t="s">
        <v>85</v>
      </c>
      <c r="D20" s="5"/>
      <c r="E20" s="1391"/>
      <c r="F20" s="61" t="s">
        <v>86</v>
      </c>
      <c r="G20" s="1111" t="s">
        <v>443</v>
      </c>
      <c r="H20" s="1119">
        <v>0.17</v>
      </c>
      <c r="I20" s="1120" t="s">
        <v>444</v>
      </c>
      <c r="J20" s="1121" t="s">
        <v>444</v>
      </c>
      <c r="K20" s="1109">
        <f>H20</f>
        <v>0.17</v>
      </c>
      <c r="L20" s="1092"/>
      <c r="M20" s="1102">
        <v>0</v>
      </c>
      <c r="N20" s="1102">
        <v>0</v>
      </c>
      <c r="O20" s="1096">
        <v>0</v>
      </c>
      <c r="P20" s="1117" t="s">
        <v>441</v>
      </c>
      <c r="Q20" s="1117" t="s">
        <v>441</v>
      </c>
      <c r="R20" s="1118" t="s">
        <v>441</v>
      </c>
      <c r="S20" s="1123"/>
      <c r="T20" s="1124">
        <v>0.099</v>
      </c>
      <c r="U20" s="1125">
        <v>0.071</v>
      </c>
      <c r="V20" s="1110">
        <f>T20+U20</f>
        <v>0.16999999999999998</v>
      </c>
      <c r="W20" s="1123"/>
      <c r="X20" s="1123"/>
      <c r="Y20" s="1099">
        <f t="shared" si="0"/>
        <v>0</v>
      </c>
      <c r="Z20" s="1126"/>
      <c r="AA20" s="992"/>
      <c r="AB20" s="1127"/>
      <c r="AC20" s="1124">
        <v>0</v>
      </c>
      <c r="AD20" s="1124"/>
      <c r="AE20" s="1128"/>
      <c r="AF20" s="1147">
        <f>AC20</f>
        <v>0</v>
      </c>
      <c r="AG20" s="1150">
        <f>W20+AD20</f>
        <v>0</v>
      </c>
      <c r="AH20" s="60" t="s">
        <v>85</v>
      </c>
      <c r="AK20" s="545"/>
      <c r="AL20" s="545"/>
      <c r="AM20" s="57"/>
      <c r="AN20" s="57"/>
      <c r="AO20" s="82"/>
      <c r="AP20" s="81"/>
      <c r="AQ20" s="57"/>
    </row>
    <row r="21" spans="3:43" ht="57.75" customHeight="1" thickBot="1">
      <c r="C21" s="51" t="s">
        <v>88</v>
      </c>
      <c r="D21" s="5"/>
      <c r="E21" s="1391"/>
      <c r="F21" s="83" t="s">
        <v>89</v>
      </c>
      <c r="G21" s="1103" t="s">
        <v>445</v>
      </c>
      <c r="H21" s="1129">
        <v>6.621</v>
      </c>
      <c r="I21" s="1130">
        <v>0.568</v>
      </c>
      <c r="J21" s="1131">
        <v>0</v>
      </c>
      <c r="K21" s="1109">
        <f>H21+I21-J21</f>
        <v>7.189</v>
      </c>
      <c r="L21" s="1092"/>
      <c r="M21" s="1104">
        <v>1.475</v>
      </c>
      <c r="N21" s="1104">
        <v>0</v>
      </c>
      <c r="O21" s="1132">
        <v>0.186</v>
      </c>
      <c r="P21" s="1117" t="s">
        <v>441</v>
      </c>
      <c r="Q21" s="1117" t="s">
        <v>441</v>
      </c>
      <c r="R21" s="1118" t="s">
        <v>441</v>
      </c>
      <c r="S21" s="1098"/>
      <c r="T21" s="1095">
        <v>3.323</v>
      </c>
      <c r="U21" s="1101">
        <v>0.681</v>
      </c>
      <c r="V21" s="1110">
        <f>T21+U21</f>
        <v>4.004</v>
      </c>
      <c r="W21" s="1098"/>
      <c r="X21" s="1098"/>
      <c r="Y21" s="1099">
        <f t="shared" si="0"/>
        <v>0</v>
      </c>
      <c r="Z21" s="1100"/>
      <c r="AA21" s="976"/>
      <c r="AB21" s="974"/>
      <c r="AC21" s="1095">
        <v>0.674</v>
      </c>
      <c r="AD21" s="1095"/>
      <c r="AE21" s="1101"/>
      <c r="AF21" s="1147">
        <f>AC21</f>
        <v>0.674</v>
      </c>
      <c r="AG21" s="1150">
        <f>W21+AD21</f>
        <v>0</v>
      </c>
      <c r="AH21" s="51" t="s">
        <v>88</v>
      </c>
      <c r="AK21" s="57"/>
      <c r="AL21" s="57"/>
      <c r="AM21" s="57"/>
      <c r="AN21" s="538" t="s">
        <v>47</v>
      </c>
      <c r="AO21" s="539" t="s">
        <v>70</v>
      </c>
      <c r="AP21" s="81"/>
      <c r="AQ21" s="57"/>
    </row>
    <row r="22" spans="3:43" ht="28.5" customHeight="1" thickBot="1">
      <c r="C22" s="60" t="s">
        <v>90</v>
      </c>
      <c r="D22" s="5"/>
      <c r="E22" s="1391"/>
      <c r="F22" s="61" t="s">
        <v>91</v>
      </c>
      <c r="G22" s="80" t="s">
        <v>446</v>
      </c>
      <c r="H22" s="1112">
        <v>7.199</v>
      </c>
      <c r="I22" s="1107" t="s">
        <v>441</v>
      </c>
      <c r="J22" s="1108" t="s">
        <v>441</v>
      </c>
      <c r="K22" s="1109">
        <f>H22</f>
        <v>7.199</v>
      </c>
      <c r="L22" s="1092"/>
      <c r="M22" s="1102">
        <v>0</v>
      </c>
      <c r="N22" s="1093"/>
      <c r="O22" s="1096">
        <v>4.762</v>
      </c>
      <c r="P22" s="1117" t="s">
        <v>441</v>
      </c>
      <c r="Q22" s="1093"/>
      <c r="R22" s="1133" t="s">
        <v>441</v>
      </c>
      <c r="S22" s="1098"/>
      <c r="T22" s="1095">
        <v>1.667</v>
      </c>
      <c r="U22" s="1101">
        <v>0.771</v>
      </c>
      <c r="V22" s="1110">
        <f>T22+U22</f>
        <v>2.438</v>
      </c>
      <c r="W22" s="1098"/>
      <c r="X22" s="1098"/>
      <c r="Y22" s="1099">
        <f t="shared" si="0"/>
        <v>0</v>
      </c>
      <c r="Z22" s="1100"/>
      <c r="AA22" s="976"/>
      <c r="AB22" s="1105"/>
      <c r="AC22" s="1095">
        <v>0</v>
      </c>
      <c r="AD22" s="1095"/>
      <c r="AE22" s="1101"/>
      <c r="AF22" s="1148">
        <f>AC22</f>
        <v>0</v>
      </c>
      <c r="AG22" s="1150">
        <f>W22+AD22</f>
        <v>0</v>
      </c>
      <c r="AH22" s="60" t="s">
        <v>90</v>
      </c>
      <c r="AK22" s="57"/>
      <c r="AL22" s="96" t="s">
        <v>349</v>
      </c>
      <c r="AM22" s="97"/>
      <c r="AN22" s="98">
        <f>(K13+K14+K20)*1000000</f>
        <v>61922000.00000001</v>
      </c>
      <c r="AO22" s="99">
        <v>1</v>
      </c>
      <c r="AP22" s="81"/>
      <c r="AQ22" s="57"/>
    </row>
    <row r="23" spans="3:41" ht="28.5" customHeight="1" thickBot="1">
      <c r="C23" s="51" t="s">
        <v>94</v>
      </c>
      <c r="D23" s="5"/>
      <c r="E23" s="1391"/>
      <c r="F23" s="61" t="s">
        <v>95</v>
      </c>
      <c r="G23" s="80" t="s">
        <v>99</v>
      </c>
      <c r="H23" s="1112">
        <v>0.111</v>
      </c>
      <c r="I23" s="1113"/>
      <c r="J23" s="1114"/>
      <c r="K23" s="1109">
        <f>H23+I23-J23</f>
        <v>0.111</v>
      </c>
      <c r="L23" s="1092"/>
      <c r="M23" s="1093"/>
      <c r="N23" s="1093"/>
      <c r="O23" s="1093"/>
      <c r="P23" s="1093"/>
      <c r="Q23" s="1093"/>
      <c r="R23" s="1094"/>
      <c r="S23" s="1134"/>
      <c r="T23" s="1095"/>
      <c r="U23" s="1101"/>
      <c r="V23" s="1110">
        <f>S23+T23+U23</f>
        <v>0</v>
      </c>
      <c r="W23" s="1098"/>
      <c r="X23" s="1098"/>
      <c r="Y23" s="1099">
        <f t="shared" si="0"/>
        <v>0</v>
      </c>
      <c r="Z23" s="1100"/>
      <c r="AA23" s="976"/>
      <c r="AB23" s="974"/>
      <c r="AC23" s="1095"/>
      <c r="AD23" s="1095"/>
      <c r="AE23" s="1101"/>
      <c r="AF23" s="1148">
        <v>0.111</v>
      </c>
      <c r="AG23" s="1150"/>
      <c r="AH23" s="51" t="s">
        <v>94</v>
      </c>
      <c r="AL23" s="96" t="s">
        <v>93</v>
      </c>
      <c r="AM23" s="97"/>
      <c r="AN23" s="100">
        <f>AQ17</f>
        <v>30270600</v>
      </c>
      <c r="AO23" s="101">
        <f>AN23/AN22</f>
        <v>0.48885048932528014</v>
      </c>
    </row>
    <row r="24" spans="3:41" ht="28.5" customHeight="1" thickBot="1">
      <c r="C24" s="60" t="s">
        <v>97</v>
      </c>
      <c r="D24" s="5"/>
      <c r="E24" s="1391"/>
      <c r="F24" s="61" t="s">
        <v>98</v>
      </c>
      <c r="G24" s="102" t="s">
        <v>99</v>
      </c>
      <c r="H24" s="1112">
        <v>0.2</v>
      </c>
      <c r="I24" s="1113"/>
      <c r="J24" s="1114"/>
      <c r="K24" s="1109">
        <f>H24+I24-J24</f>
        <v>0.2</v>
      </c>
      <c r="L24" s="1092"/>
      <c r="M24" s="1093"/>
      <c r="N24" s="1093"/>
      <c r="O24" s="1093"/>
      <c r="P24" s="1093"/>
      <c r="Q24" s="1093"/>
      <c r="R24" s="1094"/>
      <c r="S24" s="1134"/>
      <c r="T24" s="1095"/>
      <c r="U24" s="1101"/>
      <c r="V24" s="1110">
        <f>S24+T24+U24</f>
        <v>0</v>
      </c>
      <c r="W24" s="1098"/>
      <c r="X24" s="1098"/>
      <c r="Y24" s="1099">
        <f t="shared" si="0"/>
        <v>0</v>
      </c>
      <c r="Z24" s="1100"/>
      <c r="AA24" s="976"/>
      <c r="AB24" s="974"/>
      <c r="AC24" s="1095"/>
      <c r="AD24" s="1095"/>
      <c r="AE24" s="1101"/>
      <c r="AF24" s="1148">
        <v>0.2</v>
      </c>
      <c r="AG24" s="1150"/>
      <c r="AH24" s="60" t="s">
        <v>97</v>
      </c>
      <c r="AL24" s="96" t="s">
        <v>551</v>
      </c>
      <c r="AM24" s="97"/>
      <c r="AN24" s="98"/>
      <c r="AO24" s="99">
        <f>AO14/AN23</f>
        <v>0.43021942082416603</v>
      </c>
    </row>
    <row r="25" spans="3:41" ht="28.5" customHeight="1" thickBot="1">
      <c r="C25" s="104" t="s">
        <v>100</v>
      </c>
      <c r="D25" s="5"/>
      <c r="E25" s="1392"/>
      <c r="F25" s="105" t="s">
        <v>101</v>
      </c>
      <c r="G25" s="106"/>
      <c r="H25" s="1135"/>
      <c r="I25" s="1135"/>
      <c r="J25" s="1136"/>
      <c r="K25" s="1137">
        <f>H25+I25-J25</f>
        <v>0</v>
      </c>
      <c r="L25" s="1135"/>
      <c r="M25" s="1138"/>
      <c r="N25" s="1138"/>
      <c r="O25" s="1138"/>
      <c r="P25" s="1138"/>
      <c r="Q25" s="1138"/>
      <c r="R25" s="1136"/>
      <c r="S25" s="1135"/>
      <c r="T25" s="1138"/>
      <c r="U25" s="1136"/>
      <c r="V25" s="1162">
        <f>(VLOOKUP(AC2,'JFSQ p70'!6:58,11,FALSE)/1000)*2</f>
        <v>1.696</v>
      </c>
      <c r="W25" s="1139"/>
      <c r="X25" s="1140"/>
      <c r="Y25" s="1141">
        <f t="shared" si="0"/>
        <v>0</v>
      </c>
      <c r="Z25" s="1142"/>
      <c r="AA25" s="1143"/>
      <c r="AB25" s="1144"/>
      <c r="AC25" s="1135"/>
      <c r="AD25" s="1138"/>
      <c r="AE25" s="1145"/>
      <c r="AF25" s="1149"/>
      <c r="AG25" s="1150"/>
      <c r="AH25" s="104" t="s">
        <v>100</v>
      </c>
      <c r="AL25" s="96" t="s">
        <v>552</v>
      </c>
      <c r="AM25" s="103"/>
      <c r="AN25" s="100">
        <f>IF(AB25+V25=0,"n.a.",AB25+V25)*1000000</f>
        <v>1696000</v>
      </c>
      <c r="AO25" s="421">
        <f>IF(AN25/AN23=0,"n.a.",AN25/AN23)</f>
        <v>0.0560279611239949</v>
      </c>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1161"/>
      <c r="W26" s="208"/>
      <c r="X26" s="244"/>
      <c r="Y26" s="122"/>
      <c r="Z26" s="245"/>
      <c r="AA26" s="246"/>
      <c r="AB26" s="247"/>
      <c r="AC26" s="245"/>
      <c r="AD26" s="248"/>
      <c r="AE26" s="246"/>
      <c r="AF26" s="247"/>
      <c r="AG26" s="127"/>
      <c r="AH26" s="104" t="s">
        <v>103</v>
      </c>
      <c r="AJ26" s="1"/>
      <c r="AK26" s="1"/>
      <c r="AL26" s="96" t="s">
        <v>102</v>
      </c>
      <c r="AM26" s="97"/>
      <c r="AN26" s="107">
        <f>AN14/AL9</f>
        <v>0.1298435026666752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f>SUM(V13:V24)</f>
        <v>13.446</v>
      </c>
      <c r="W27" s="131"/>
      <c r="X27" s="131"/>
      <c r="Y27" s="131"/>
      <c r="Z27" s="133"/>
      <c r="AA27" s="133"/>
      <c r="AB27" s="544"/>
      <c r="AC27" s="134">
        <f>SUM(AC18:AC22)+AC14+AC13</f>
        <v>11.808</v>
      </c>
      <c r="AD27" s="5"/>
      <c r="AE27" s="5"/>
      <c r="AF27" s="135"/>
      <c r="AG27" s="31"/>
      <c r="AH27" s="136"/>
      <c r="AL27" s="96" t="s">
        <v>105</v>
      </c>
      <c r="AM27" s="103"/>
      <c r="AN27" s="107">
        <f>((AN23/Assumptions!F20)*Assumptions!F30/1000000)</f>
        <v>6.487998600000001</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531</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153" t="s">
        <v>447</v>
      </c>
      <c r="L38" s="1154">
        <v>5000</v>
      </c>
      <c r="M38" s="163"/>
      <c r="N38" s="163"/>
      <c r="W38" s="164"/>
      <c r="X38" s="164"/>
      <c r="Y38" s="152"/>
      <c r="Z38" s="152"/>
      <c r="AA38" s="152"/>
      <c r="AB38" s="152"/>
      <c r="AC38" s="152"/>
    </row>
    <row r="39" spans="8:43" ht="18.75">
      <c r="H39" s="158"/>
      <c r="I39" s="158"/>
      <c r="J39" s="158"/>
      <c r="K39" s="1153" t="s">
        <v>448</v>
      </c>
      <c r="L39" s="1154">
        <v>40000</v>
      </c>
      <c r="Y39" s="58"/>
      <c r="Z39" s="59"/>
      <c r="AA39" s="59"/>
      <c r="AB39" s="59"/>
      <c r="AC39" s="59"/>
      <c r="AG39" s="59"/>
      <c r="AH39" s="59"/>
      <c r="AJ39" s="59"/>
      <c r="AK39" s="59"/>
      <c r="AL39" s="59"/>
      <c r="AM39" s="59"/>
      <c r="AN39" s="59"/>
      <c r="AO39" s="59"/>
      <c r="AP39" s="59"/>
      <c r="AQ39" s="59"/>
    </row>
    <row r="40" spans="8:29" ht="18.75">
      <c r="H40" s="158"/>
      <c r="I40" s="158"/>
      <c r="J40" s="158"/>
      <c r="K40" s="1155" t="s">
        <v>449</v>
      </c>
      <c r="L40" s="1154">
        <v>5000</v>
      </c>
      <c r="T40" s="35"/>
      <c r="Y40" s="59"/>
      <c r="Z40" s="59"/>
      <c r="AA40" s="59"/>
      <c r="AB40" s="59"/>
      <c r="AC40" s="59"/>
    </row>
    <row r="41" spans="6:12" ht="18.75">
      <c r="F41" s="167"/>
      <c r="K41" s="1155" t="s">
        <v>450</v>
      </c>
      <c r="L41" s="1154">
        <v>80000</v>
      </c>
    </row>
    <row r="42" spans="6:12" ht="18.75">
      <c r="F42" s="167"/>
      <c r="K42" s="1155" t="s">
        <v>451</v>
      </c>
      <c r="L42" s="1154">
        <v>15000</v>
      </c>
    </row>
    <row r="43" spans="11:12" ht="18.75">
      <c r="K43" s="1155" t="s">
        <v>452</v>
      </c>
      <c r="L43" s="1154">
        <v>50000</v>
      </c>
    </row>
    <row r="44" spans="11:20" ht="18.75">
      <c r="K44" s="1153" t="s">
        <v>453</v>
      </c>
      <c r="L44" s="1154">
        <v>47000</v>
      </c>
      <c r="T44" s="35"/>
    </row>
    <row r="45" spans="11:20" ht="18.75">
      <c r="K45" s="1153" t="s">
        <v>454</v>
      </c>
      <c r="L45" s="1154">
        <v>5000</v>
      </c>
      <c r="T45" s="35"/>
    </row>
    <row r="46" spans="11:12" ht="18.75">
      <c r="K46" s="1153" t="s">
        <v>455</v>
      </c>
      <c r="L46" s="1154">
        <v>5000</v>
      </c>
    </row>
    <row r="47" spans="11:12" ht="18.75">
      <c r="K47" s="1153" t="s">
        <v>456</v>
      </c>
      <c r="L47" s="1154">
        <v>15000</v>
      </c>
    </row>
    <row r="48" spans="11:12" ht="18.75">
      <c r="K48" s="1153" t="s">
        <v>457</v>
      </c>
      <c r="L48" s="1154">
        <v>36000</v>
      </c>
    </row>
    <row r="49" spans="11:12" ht="18.75">
      <c r="K49" s="1153" t="s">
        <v>458</v>
      </c>
      <c r="L49" s="1154">
        <v>25000</v>
      </c>
    </row>
    <row r="50" spans="11:14" ht="18.75">
      <c r="K50" s="1153" t="s">
        <v>459</v>
      </c>
      <c r="L50" s="1154">
        <v>10000</v>
      </c>
      <c r="N50" s="35"/>
    </row>
    <row r="51" spans="11:14" ht="18.75">
      <c r="K51" s="1153" t="s">
        <v>460</v>
      </c>
      <c r="L51" s="1154">
        <v>40000</v>
      </c>
      <c r="N51" s="1"/>
    </row>
    <row r="52" spans="11:14" ht="18.75">
      <c r="K52" s="1153" t="s">
        <v>461</v>
      </c>
      <c r="L52" s="1154">
        <v>10000</v>
      </c>
      <c r="N52" s="1"/>
    </row>
    <row r="53" spans="14:20" ht="18.75">
      <c r="N53" s="1"/>
      <c r="T53" s="35"/>
    </row>
    <row r="54" spans="11:14" ht="18.75">
      <c r="K54" s="1157" t="s">
        <v>437</v>
      </c>
      <c r="L54" s="1156">
        <f>SUM(L38:L52)</f>
        <v>388000</v>
      </c>
      <c r="M54" s="1158">
        <v>2005</v>
      </c>
      <c r="N54" s="35"/>
    </row>
    <row r="55" spans="11:14" ht="18.75">
      <c r="K55" s="1157"/>
      <c r="M55" s="1158"/>
      <c r="N55" s="35"/>
    </row>
    <row r="56" spans="11:14" ht="18.75">
      <c r="K56" s="1157"/>
      <c r="L56" s="1156">
        <f>L54/1.3</f>
        <v>298461.53846153844</v>
      </c>
      <c r="M56" s="1158" t="s">
        <v>462</v>
      </c>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56">
    <mergeCell ref="G14:G16"/>
    <mergeCell ref="T14:T16"/>
    <mergeCell ref="AC14:AC16"/>
    <mergeCell ref="AF14:AF16"/>
    <mergeCell ref="M17:R17"/>
    <mergeCell ref="T17:U17"/>
    <mergeCell ref="AC17:AF17"/>
    <mergeCell ref="K14:K16"/>
    <mergeCell ref="U14:U16"/>
    <mergeCell ref="V14:V16"/>
    <mergeCell ref="N11:N12"/>
    <mergeCell ref="L9:R10"/>
    <mergeCell ref="P11:R11"/>
    <mergeCell ref="E13:E25"/>
    <mergeCell ref="J9:J12"/>
    <mergeCell ref="K9:K12"/>
    <mergeCell ref="I9:I12"/>
    <mergeCell ref="H14:H16"/>
    <mergeCell ref="I14:I16"/>
    <mergeCell ref="J14:J16"/>
    <mergeCell ref="AA30:AH30"/>
    <mergeCell ref="L11:L12"/>
    <mergeCell ref="AC2:AG2"/>
    <mergeCell ref="AD1:AH1"/>
    <mergeCell ref="P3:AJ3"/>
    <mergeCell ref="AC4:AG4"/>
    <mergeCell ref="O11:O12"/>
    <mergeCell ref="Z11:AB11"/>
    <mergeCell ref="L8:AF8"/>
    <mergeCell ref="AF11:AF12"/>
    <mergeCell ref="S9:AD9"/>
    <mergeCell ref="AE11:AE12"/>
    <mergeCell ref="AC11:AC12"/>
    <mergeCell ref="S11:V11"/>
    <mergeCell ref="W11:Y11"/>
    <mergeCell ref="S10:AF10"/>
    <mergeCell ref="E32:H32"/>
    <mergeCell ref="E33:H33"/>
    <mergeCell ref="E31:H31"/>
    <mergeCell ref="AA31:AH31"/>
    <mergeCell ref="AA32:AH32"/>
    <mergeCell ref="AJ29:AQ32"/>
    <mergeCell ref="C6:G7"/>
    <mergeCell ref="C3:M3"/>
    <mergeCell ref="C1:M2"/>
    <mergeCell ref="F9:G11"/>
    <mergeCell ref="H9:H12"/>
    <mergeCell ref="M11:M12"/>
    <mergeCell ref="AE9:AF9"/>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codeName="Tabelle10">
    <tabColor indexed="11"/>
  </sheetPr>
  <dimension ref="C1:AS95"/>
  <sheetViews>
    <sheetView zoomScale="75" zoomScaleNormal="75" zoomScaleSheetLayoutView="55" workbookViewId="0" topLeftCell="AG4">
      <selection activeCell="AM35" sqref="AM35"/>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13.00390625" style="169"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280</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Lithuania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3585906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0.8947919995671945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4615000</v>
      </c>
      <c r="I13" s="251">
        <v>258000</v>
      </c>
      <c r="J13" s="251">
        <v>1129000</v>
      </c>
      <c r="K13" s="252">
        <v>3744000</v>
      </c>
      <c r="L13" s="185">
        <v>3000000</v>
      </c>
      <c r="M13" s="186">
        <v>250000</v>
      </c>
      <c r="N13" s="186">
        <v>0</v>
      </c>
      <c r="O13" s="187">
        <v>494000</v>
      </c>
      <c r="P13" s="253">
        <v>0</v>
      </c>
      <c r="Q13" s="187">
        <v>0</v>
      </c>
      <c r="R13" s="186">
        <v>0</v>
      </c>
      <c r="S13" s="229">
        <v>0</v>
      </c>
      <c r="T13" s="229">
        <v>0</v>
      </c>
      <c r="U13" s="229">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1430000</v>
      </c>
      <c r="I14" s="251">
        <v>26400</v>
      </c>
      <c r="J14" s="251">
        <v>38700</v>
      </c>
      <c r="K14" s="255">
        <v>1417700</v>
      </c>
      <c r="L14" s="220">
        <v>0</v>
      </c>
      <c r="M14" s="221">
        <v>0</v>
      </c>
      <c r="N14" s="221">
        <v>0</v>
      </c>
      <c r="O14" s="222">
        <v>0</v>
      </c>
      <c r="P14" s="256">
        <v>0</v>
      </c>
      <c r="Q14" s="192">
        <v>5100</v>
      </c>
      <c r="R14" s="192">
        <v>0</v>
      </c>
      <c r="S14" s="229">
        <v>52100</v>
      </c>
      <c r="T14" s="229">
        <v>0</v>
      </c>
      <c r="U14" s="229">
        <v>0</v>
      </c>
      <c r="V14" s="520">
        <v>59200</v>
      </c>
      <c r="W14" s="193">
        <v>0</v>
      </c>
      <c r="X14" s="193">
        <v>0</v>
      </c>
      <c r="Y14" s="224">
        <v>0</v>
      </c>
      <c r="Z14" s="225">
        <v>0</v>
      </c>
      <c r="AA14" s="196">
        <v>0</v>
      </c>
      <c r="AB14" s="522">
        <v>10500</v>
      </c>
      <c r="AC14" s="192">
        <v>0</v>
      </c>
      <c r="AD14" s="192">
        <v>0</v>
      </c>
      <c r="AE14" s="194">
        <v>0</v>
      </c>
      <c r="AF14" s="522">
        <v>1350000</v>
      </c>
      <c r="AG14" s="31"/>
      <c r="AH14" s="60" t="s">
        <v>71</v>
      </c>
      <c r="AK14" s="63" t="s">
        <v>73</v>
      </c>
      <c r="AL14" s="64">
        <f>IF(V13+V14+V15+V16+V17+(V20*Assumptions!F20)=0,"n.a.",V13+V14+V15+V16+V17+(V20*Assumptions!F20))</f>
        <v>123700</v>
      </c>
      <c r="AM14" s="64">
        <f>IF(AB14+AB15+AB16+AB17+(AB20*Assumptions!F20)=0,"n.a.",AB14+AB15+AB16+AB17+(AB20*Assumptions!F20))</f>
        <v>10500</v>
      </c>
      <c r="AN14" s="65">
        <f>IF(AF14+AF15+AF16+AF17+(AF20*Assumptions!F20)=0,"n.a.",AF14+AF15+AF16+AF17+(AF20*Assumptions!F20))</f>
        <v>1350000</v>
      </c>
      <c r="AO14" s="66">
        <f>SUM(AL14:AN14)</f>
        <v>1484200</v>
      </c>
      <c r="AP14" s="67">
        <f>AO14/$AO$19</f>
        <v>0.4625635783384861</v>
      </c>
      <c r="AQ14" s="57"/>
    </row>
    <row r="15" spans="3:43" ht="38.25" customHeight="1" thickBot="1">
      <c r="C15" s="51" t="s">
        <v>74</v>
      </c>
      <c r="D15" s="5"/>
      <c r="E15" s="1391"/>
      <c r="F15" s="61" t="s">
        <v>75</v>
      </c>
      <c r="G15" s="102" t="s">
        <v>119</v>
      </c>
      <c r="H15" s="257">
        <v>64500</v>
      </c>
      <c r="I15" s="257">
        <v>0</v>
      </c>
      <c r="J15" s="257">
        <v>0</v>
      </c>
      <c r="K15" s="255">
        <v>64500000</v>
      </c>
      <c r="L15" s="220">
        <v>0</v>
      </c>
      <c r="M15" s="197">
        <v>0</v>
      </c>
      <c r="N15" s="197">
        <v>0</v>
      </c>
      <c r="O15" s="197">
        <v>0</v>
      </c>
      <c r="P15" s="192">
        <v>0</v>
      </c>
      <c r="Q15" s="192">
        <v>0</v>
      </c>
      <c r="R15" s="192">
        <v>0</v>
      </c>
      <c r="S15" s="229">
        <v>64500</v>
      </c>
      <c r="T15" s="229">
        <v>0</v>
      </c>
      <c r="U15" s="229">
        <v>0</v>
      </c>
      <c r="V15" s="520">
        <v>64500</v>
      </c>
      <c r="W15" s="193">
        <v>0</v>
      </c>
      <c r="X15" s="193">
        <v>0</v>
      </c>
      <c r="Y15" s="224">
        <v>0</v>
      </c>
      <c r="Z15" s="225">
        <v>0</v>
      </c>
      <c r="AA15" s="196">
        <v>0</v>
      </c>
      <c r="AB15" s="522">
        <v>0</v>
      </c>
      <c r="AC15" s="192">
        <v>0</v>
      </c>
      <c r="AD15" s="192">
        <v>0</v>
      </c>
      <c r="AE15" s="194">
        <v>0</v>
      </c>
      <c r="AF15" s="522">
        <v>0</v>
      </c>
      <c r="AG15" s="31"/>
      <c r="AH15" s="51" t="s">
        <v>74</v>
      </c>
      <c r="AK15" s="63" t="s">
        <v>76</v>
      </c>
      <c r="AL15" s="68">
        <f>IF(V18+V19+(V23*Assumptions!F9)+(V24*Assumptions!F6)+(V22*Assumptions!F16)+V25=0,"n.a.",V18+V19+(V23*Assumptions!F9)+(V24*Assumptions!F6)+(V22*Assumptions!F16)+V25)</f>
        <v>651100</v>
      </c>
      <c r="AM15" s="68">
        <f>IF(AB18+AB19+(AB23*Assumptions!F9)+(AB24*Assumptions!F6)+(AB25)+(AB22*Assumptions!F16)=0,"n.a.",AB18+AB19+(AB23*Assumptions!F9)+(AB24*Assumptions!F6)+(AB25)+(AB22*Assumptions!F16))</f>
        <v>411060</v>
      </c>
      <c r="AN15" s="69">
        <f>IF(AF18+AF19+(AF23*Assumptions!F9)+(AF24*Assumptions!F6)+(AF22*Assumptions!F16)=0,"n.a.",AF18+AF19+(AF23*Assumptions!F9)+(AF24*Assumptions!F6)+(AF22*Assumptions!F16))</f>
        <v>662280</v>
      </c>
      <c r="AO15" s="66">
        <f>SUM(AL15:AN15)</f>
        <v>1724440</v>
      </c>
      <c r="AP15" s="67">
        <f>AO15/$AO$19</f>
        <v>0.537436421661514</v>
      </c>
      <c r="AQ15" s="57"/>
    </row>
    <row r="16" spans="3:43" ht="38.25" customHeight="1" thickBot="1">
      <c r="C16" s="60" t="s">
        <v>77</v>
      </c>
      <c r="D16" s="5"/>
      <c r="E16" s="1391"/>
      <c r="F16" s="61" t="s">
        <v>78</v>
      </c>
      <c r="G16" s="102" t="s">
        <v>119</v>
      </c>
      <c r="H16" s="251" t="s">
        <v>279</v>
      </c>
      <c r="I16" s="251" t="s">
        <v>279</v>
      </c>
      <c r="J16" s="251" t="s">
        <v>279</v>
      </c>
      <c r="K16" s="255"/>
      <c r="L16" s="220">
        <v>0</v>
      </c>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102" t="s">
        <v>119</v>
      </c>
      <c r="H17" s="258">
        <v>0</v>
      </c>
      <c r="I17" s="258">
        <v>0</v>
      </c>
      <c r="J17" s="258">
        <v>0</v>
      </c>
      <c r="K17" s="255">
        <v>0</v>
      </c>
      <c r="L17" s="220">
        <v>0</v>
      </c>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v>0</v>
      </c>
      <c r="AD17" s="192">
        <v>0</v>
      </c>
      <c r="AE17" s="194">
        <v>0</v>
      </c>
      <c r="AF17" s="522">
        <v>0</v>
      </c>
      <c r="AG17" s="31"/>
      <c r="AH17" s="51" t="s">
        <v>80</v>
      </c>
      <c r="AK17" s="431" t="s">
        <v>354</v>
      </c>
      <c r="AL17" s="74">
        <f>SUM(AL14:AL16)</f>
        <v>774800</v>
      </c>
      <c r="AM17" s="75">
        <f>SUM(AM14:AM16)</f>
        <v>421560</v>
      </c>
      <c r="AN17" s="75">
        <f>SUM(AN14:AN16)</f>
        <v>2012280</v>
      </c>
      <c r="AO17" s="1443"/>
      <c r="AP17" s="1444"/>
      <c r="AQ17" s="76">
        <f>SUM(AL17:AN17)</f>
        <v>3208640</v>
      </c>
    </row>
    <row r="18" spans="3:43" ht="38.25" customHeight="1" thickBot="1" thickTop="1">
      <c r="C18" s="60" t="s">
        <v>82</v>
      </c>
      <c r="D18" s="5"/>
      <c r="E18" s="1391"/>
      <c r="F18" s="61" t="s">
        <v>83</v>
      </c>
      <c r="G18" s="102" t="s">
        <v>119</v>
      </c>
      <c r="H18" s="251">
        <v>2000000</v>
      </c>
      <c r="I18" s="251">
        <v>193100</v>
      </c>
      <c r="J18" s="251">
        <v>166400</v>
      </c>
      <c r="K18" s="255">
        <v>2026700000</v>
      </c>
      <c r="L18" s="220">
        <v>0</v>
      </c>
      <c r="M18" s="197">
        <v>268000</v>
      </c>
      <c r="N18" s="197">
        <v>0</v>
      </c>
      <c r="O18" s="199">
        <v>0</v>
      </c>
      <c r="P18" s="192">
        <v>320000</v>
      </c>
      <c r="Q18" s="192">
        <v>0</v>
      </c>
      <c r="R18" s="192">
        <v>0</v>
      </c>
      <c r="S18" s="193">
        <v>595500</v>
      </c>
      <c r="T18" s="229">
        <v>0</v>
      </c>
      <c r="U18" s="229">
        <v>19600</v>
      </c>
      <c r="V18" s="526">
        <v>615100</v>
      </c>
      <c r="W18" s="193">
        <v>0</v>
      </c>
      <c r="X18" s="193">
        <v>0</v>
      </c>
      <c r="Y18" s="224">
        <v>0</v>
      </c>
      <c r="Z18" s="225">
        <v>0</v>
      </c>
      <c r="AA18" s="196">
        <v>0</v>
      </c>
      <c r="AB18" s="528">
        <v>388800</v>
      </c>
      <c r="AC18" s="192">
        <v>0</v>
      </c>
      <c r="AD18" s="192">
        <v>0</v>
      </c>
      <c r="AE18" s="194">
        <v>0</v>
      </c>
      <c r="AF18" s="528">
        <v>434800</v>
      </c>
      <c r="AG18" s="31"/>
      <c r="AH18" s="60" t="s">
        <v>82</v>
      </c>
      <c r="AK18" s="431" t="s">
        <v>70</v>
      </c>
      <c r="AL18" s="78">
        <f>AL17/$AQ$17</f>
        <v>0.2414730228383365</v>
      </c>
      <c r="AM18" s="78">
        <f>AM17/$AQ$17</f>
        <v>0.131382766530368</v>
      </c>
      <c r="AN18" s="78">
        <f>AN17/$AQ$17</f>
        <v>0.6271442106312956</v>
      </c>
      <c r="AO18" s="1445"/>
      <c r="AP18" s="1446"/>
      <c r="AQ18" s="57"/>
    </row>
    <row r="19" spans="3:43" ht="38.25" customHeight="1" thickBot="1">
      <c r="C19" s="51" t="s">
        <v>84</v>
      </c>
      <c r="D19" s="5"/>
      <c r="E19" s="1391"/>
      <c r="F19" s="61" t="s">
        <v>409</v>
      </c>
      <c r="G19" s="102" t="s">
        <v>119</v>
      </c>
      <c r="H19" s="251" t="s">
        <v>279</v>
      </c>
      <c r="I19" s="251" t="s">
        <v>279</v>
      </c>
      <c r="J19" s="251" t="s">
        <v>279</v>
      </c>
      <c r="K19" s="255"/>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3208640</v>
      </c>
      <c r="AP19" s="1449"/>
      <c r="AQ19" s="1447"/>
    </row>
    <row r="20" spans="3:43" ht="28.5" customHeight="1" thickBot="1">
      <c r="C20" s="60" t="s">
        <v>85</v>
      </c>
      <c r="D20" s="5"/>
      <c r="E20" s="1391"/>
      <c r="F20" s="61" t="s">
        <v>86</v>
      </c>
      <c r="G20" s="102" t="s">
        <v>87</v>
      </c>
      <c r="H20" s="251" t="s">
        <v>279</v>
      </c>
      <c r="I20" s="251" t="s">
        <v>279</v>
      </c>
      <c r="J20" s="251" t="s">
        <v>279</v>
      </c>
      <c r="K20" s="255"/>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t="s">
        <v>279</v>
      </c>
      <c r="I21" s="251" t="s">
        <v>279</v>
      </c>
      <c r="J21" s="251">
        <v>0</v>
      </c>
      <c r="K21" s="255"/>
      <c r="L21" s="220">
        <v>0</v>
      </c>
      <c r="M21" s="229">
        <v>0</v>
      </c>
      <c r="N21" s="229">
        <v>0</v>
      </c>
      <c r="O21" s="230">
        <v>0</v>
      </c>
      <c r="P21" s="192">
        <v>0</v>
      </c>
      <c r="Q21" s="192">
        <v>0</v>
      </c>
      <c r="R21" s="192">
        <v>0</v>
      </c>
      <c r="S21" s="229">
        <v>0</v>
      </c>
      <c r="T21" s="229">
        <v>0</v>
      </c>
      <c r="U21" s="229">
        <v>0</v>
      </c>
      <c r="V21" s="516">
        <v>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824500</v>
      </c>
      <c r="I22" s="251">
        <v>38800</v>
      </c>
      <c r="J22" s="251">
        <v>159300</v>
      </c>
      <c r="K22" s="255">
        <v>704000</v>
      </c>
      <c r="L22" s="220">
        <v>0</v>
      </c>
      <c r="M22" s="197">
        <v>74300</v>
      </c>
      <c r="N22" s="221">
        <v>0</v>
      </c>
      <c r="O22" s="199">
        <v>0</v>
      </c>
      <c r="P22" s="192">
        <v>32000</v>
      </c>
      <c r="Q22" s="221">
        <v>0</v>
      </c>
      <c r="R22" s="192">
        <v>0</v>
      </c>
      <c r="S22" s="229">
        <v>174500</v>
      </c>
      <c r="T22" s="229">
        <v>0</v>
      </c>
      <c r="U22" s="229">
        <v>5500</v>
      </c>
      <c r="V22" s="526">
        <v>180000</v>
      </c>
      <c r="W22" s="193">
        <v>0</v>
      </c>
      <c r="X22" s="193">
        <v>0</v>
      </c>
      <c r="Y22" s="224">
        <v>0</v>
      </c>
      <c r="Z22" s="225">
        <v>0</v>
      </c>
      <c r="AA22" s="196">
        <v>0</v>
      </c>
      <c r="AB22" s="528">
        <v>111300</v>
      </c>
      <c r="AC22" s="192">
        <v>0</v>
      </c>
      <c r="AD22" s="192">
        <v>0</v>
      </c>
      <c r="AE22" s="194">
        <v>0</v>
      </c>
      <c r="AF22" s="528">
        <v>306400</v>
      </c>
      <c r="AG22" s="31"/>
      <c r="AH22" s="60" t="s">
        <v>90</v>
      </c>
      <c r="AK22" s="57"/>
      <c r="AL22" s="96" t="s">
        <v>349</v>
      </c>
      <c r="AM22" s="97"/>
      <c r="AN22" s="98">
        <f>(K13+K14)+H15+K20</f>
        <v>5226200</v>
      </c>
      <c r="AO22" s="99">
        <v>1</v>
      </c>
      <c r="AP22" s="81"/>
      <c r="AQ22" s="57"/>
    </row>
    <row r="23" spans="3:41" ht="28.5" customHeight="1" thickBot="1">
      <c r="C23" s="51" t="s">
        <v>94</v>
      </c>
      <c r="D23" s="5"/>
      <c r="E23" s="1391"/>
      <c r="F23" s="61" t="s">
        <v>95</v>
      </c>
      <c r="G23" s="102" t="s">
        <v>99</v>
      </c>
      <c r="H23" s="251">
        <v>700</v>
      </c>
      <c r="I23" s="251">
        <v>600</v>
      </c>
      <c r="J23" s="251">
        <v>600</v>
      </c>
      <c r="K23" s="255">
        <v>700000</v>
      </c>
      <c r="L23" s="220">
        <v>0</v>
      </c>
      <c r="M23" s="221">
        <v>0</v>
      </c>
      <c r="N23" s="221">
        <v>0</v>
      </c>
      <c r="O23" s="221">
        <v>0</v>
      </c>
      <c r="P23" s="221">
        <v>0</v>
      </c>
      <c r="Q23" s="221">
        <v>0</v>
      </c>
      <c r="R23" s="222">
        <v>0</v>
      </c>
      <c r="S23" s="229">
        <v>0</v>
      </c>
      <c r="T23" s="229">
        <v>0</v>
      </c>
      <c r="U23" s="229">
        <v>0</v>
      </c>
      <c r="V23" s="526">
        <v>0</v>
      </c>
      <c r="W23" s="193">
        <v>0</v>
      </c>
      <c r="X23" s="193">
        <v>0</v>
      </c>
      <c r="Y23" s="224">
        <v>0</v>
      </c>
      <c r="Z23" s="225">
        <v>0</v>
      </c>
      <c r="AA23" s="196">
        <v>0</v>
      </c>
      <c r="AB23" s="528">
        <v>0</v>
      </c>
      <c r="AC23" s="192">
        <v>0</v>
      </c>
      <c r="AD23" s="192">
        <v>0</v>
      </c>
      <c r="AE23" s="194">
        <v>0</v>
      </c>
      <c r="AF23" s="528">
        <v>0</v>
      </c>
      <c r="AG23" s="31"/>
      <c r="AH23" s="51" t="s">
        <v>94</v>
      </c>
      <c r="AL23" s="96" t="s">
        <v>93</v>
      </c>
      <c r="AM23" s="97"/>
      <c r="AN23" s="100">
        <f>AQ17</f>
        <v>3208640</v>
      </c>
      <c r="AO23" s="101">
        <f>AN23/AN22</f>
        <v>0.6139527763958517</v>
      </c>
    </row>
    <row r="24" spans="3:41" ht="28.5" customHeight="1" thickBot="1">
      <c r="C24" s="60" t="s">
        <v>97</v>
      </c>
      <c r="D24" s="5"/>
      <c r="E24" s="1391"/>
      <c r="F24" s="61" t="s">
        <v>98</v>
      </c>
      <c r="G24" s="102" t="s">
        <v>99</v>
      </c>
      <c r="H24" s="251">
        <v>160000</v>
      </c>
      <c r="I24" s="251">
        <v>7514</v>
      </c>
      <c r="J24" s="251">
        <v>83068</v>
      </c>
      <c r="K24" s="255">
        <v>84446</v>
      </c>
      <c r="L24" s="220">
        <v>0</v>
      </c>
      <c r="M24" s="221">
        <v>0</v>
      </c>
      <c r="N24" s="221">
        <v>0</v>
      </c>
      <c r="O24" s="221">
        <v>0</v>
      </c>
      <c r="P24" s="221">
        <v>0</v>
      </c>
      <c r="Q24" s="221">
        <v>0</v>
      </c>
      <c r="R24" s="222">
        <v>0</v>
      </c>
      <c r="S24" s="229">
        <v>0</v>
      </c>
      <c r="T24" s="229">
        <v>0</v>
      </c>
      <c r="U24" s="229">
        <v>0</v>
      </c>
      <c r="V24" s="526">
        <v>0</v>
      </c>
      <c r="W24" s="193">
        <v>0</v>
      </c>
      <c r="X24" s="193">
        <v>0</v>
      </c>
      <c r="Y24" s="224">
        <v>0</v>
      </c>
      <c r="Z24" s="225">
        <v>0</v>
      </c>
      <c r="AA24" s="196">
        <v>0</v>
      </c>
      <c r="AB24" s="528">
        <v>0</v>
      </c>
      <c r="AC24" s="192">
        <v>0</v>
      </c>
      <c r="AD24" s="192">
        <v>0</v>
      </c>
      <c r="AE24" s="194">
        <v>0</v>
      </c>
      <c r="AF24" s="528">
        <v>83100</v>
      </c>
      <c r="AG24" s="31"/>
      <c r="AH24" s="60" t="s">
        <v>97</v>
      </c>
      <c r="AI24" s="1" t="s">
        <v>106</v>
      </c>
      <c r="AL24" s="96" t="s">
        <v>551</v>
      </c>
      <c r="AM24" s="97"/>
      <c r="AN24" s="98"/>
      <c r="AO24" s="99">
        <f>AO14/AN23</f>
        <v>0.4625635783384861</v>
      </c>
    </row>
    <row r="25" spans="3:41" ht="28.5" customHeight="1" thickBot="1">
      <c r="C25" s="104" t="s">
        <v>100</v>
      </c>
      <c r="D25" s="5"/>
      <c r="E25" s="1392"/>
      <c r="F25" s="105" t="s">
        <v>101</v>
      </c>
      <c r="G25" s="420"/>
      <c r="H25" s="259">
        <v>0</v>
      </c>
      <c r="I25" s="259">
        <v>0</v>
      </c>
      <c r="J25" s="260">
        <v>0</v>
      </c>
      <c r="K25" s="261">
        <v>0</v>
      </c>
      <c r="L25" s="232">
        <v>0</v>
      </c>
      <c r="M25" s="234">
        <v>0</v>
      </c>
      <c r="N25" s="234">
        <v>0</v>
      </c>
      <c r="O25" s="234">
        <v>0</v>
      </c>
      <c r="P25" s="234">
        <v>0</v>
      </c>
      <c r="Q25" s="234">
        <v>0</v>
      </c>
      <c r="R25" s="233">
        <v>0</v>
      </c>
      <c r="S25" s="232">
        <v>0</v>
      </c>
      <c r="T25" s="234">
        <v>0</v>
      </c>
      <c r="U25" s="233">
        <v>0</v>
      </c>
      <c r="V25" s="526">
        <v>0</v>
      </c>
      <c r="W25" s="235">
        <v>0</v>
      </c>
      <c r="X25" s="236">
        <v>0</v>
      </c>
      <c r="Y25" s="224">
        <v>0</v>
      </c>
      <c r="Z25" s="237">
        <v>0</v>
      </c>
      <c r="AA25" s="238">
        <v>0</v>
      </c>
      <c r="AB25" s="528">
        <v>0</v>
      </c>
      <c r="AC25" s="232">
        <v>0</v>
      </c>
      <c r="AD25" s="234">
        <v>0</v>
      </c>
      <c r="AE25" s="239">
        <v>0</v>
      </c>
      <c r="AF25" s="224">
        <v>0</v>
      </c>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v>0</v>
      </c>
      <c r="T26" s="244">
        <v>0</v>
      </c>
      <c r="U26" s="263">
        <v>0</v>
      </c>
      <c r="V26" s="264">
        <v>0</v>
      </c>
      <c r="W26" s="208">
        <v>0</v>
      </c>
      <c r="X26" s="244">
        <v>0</v>
      </c>
      <c r="Y26" s="122">
        <v>0</v>
      </c>
      <c r="Z26" s="245">
        <v>0</v>
      </c>
      <c r="AA26" s="246">
        <v>0</v>
      </c>
      <c r="AB26" s="247">
        <v>0</v>
      </c>
      <c r="AC26" s="245">
        <v>0</v>
      </c>
      <c r="AD26" s="248">
        <v>0</v>
      </c>
      <c r="AE26" s="246">
        <v>0</v>
      </c>
      <c r="AF26" s="247">
        <v>0</v>
      </c>
      <c r="AG26" s="127"/>
      <c r="AH26" s="104" t="s">
        <v>103</v>
      </c>
      <c r="AJ26" s="1"/>
      <c r="AK26" s="1"/>
      <c r="AL26" s="96" t="s">
        <v>102</v>
      </c>
      <c r="AM26" s="97"/>
      <c r="AN26" s="107">
        <f>AO14/AL9</f>
        <v>0.41389818918845056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0</v>
      </c>
      <c r="AC27" s="134"/>
      <c r="AD27" s="5"/>
      <c r="AE27" s="5"/>
      <c r="AF27" s="135"/>
      <c r="AG27" s="31"/>
      <c r="AH27" s="136"/>
      <c r="AL27" s="96" t="s">
        <v>105</v>
      </c>
      <c r="AM27" s="103"/>
      <c r="AN27" s="107">
        <f>((AN23/Assumptions!F20)*Assumptions!F30/1000000)</f>
        <v>0.6877185066666667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S9:AD9"/>
    <mergeCell ref="S10:Y10"/>
    <mergeCell ref="AE11:AE12"/>
    <mergeCell ref="AC11:AC12"/>
    <mergeCell ref="S11:V11"/>
    <mergeCell ref="W11:Y11"/>
    <mergeCell ref="AA30:AH30"/>
    <mergeCell ref="L11:L12"/>
    <mergeCell ref="AC2:AG2"/>
    <mergeCell ref="AD1:AH1"/>
    <mergeCell ref="P3:AJ3"/>
    <mergeCell ref="AC4:AG4"/>
    <mergeCell ref="O11:O12"/>
    <mergeCell ref="Z11:AB11"/>
    <mergeCell ref="L8:AF8"/>
    <mergeCell ref="AF11:AF12"/>
    <mergeCell ref="N11:N12"/>
    <mergeCell ref="L9:R10"/>
    <mergeCell ref="P11:R11"/>
    <mergeCell ref="E13:E25"/>
    <mergeCell ref="J9:J12"/>
    <mergeCell ref="K9:K12"/>
    <mergeCell ref="I9:I12"/>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codeName="Tabelle29">
    <tabColor indexed="11"/>
  </sheetPr>
  <dimension ref="C1:AS95"/>
  <sheetViews>
    <sheetView zoomScale="75" zoomScaleNormal="75" zoomScaleSheetLayoutView="100" workbookViewId="0" topLeftCell="AG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3" width="8.57421875" style="159" customWidth="1"/>
    <col min="14" max="14" width="10.28125" style="159" customWidth="1"/>
    <col min="15" max="16" width="8.57421875" style="1" customWidth="1"/>
    <col min="17" max="17" width="8.14062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268</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The Netherlands</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16491461</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0.11897066002824128</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820000</v>
      </c>
      <c r="I13" s="251">
        <v>316000</v>
      </c>
      <c r="J13" s="251">
        <v>461000</v>
      </c>
      <c r="K13" s="252">
        <f>H13+I13-J13</f>
        <v>675000</v>
      </c>
      <c r="L13" s="185">
        <v>475000</v>
      </c>
      <c r="M13" s="186">
        <v>5000</v>
      </c>
      <c r="N13" s="186">
        <v>105000</v>
      </c>
      <c r="O13" s="187">
        <v>90000</v>
      </c>
      <c r="P13" s="253">
        <v>0</v>
      </c>
      <c r="Q13" s="187">
        <v>0</v>
      </c>
      <c r="R13" s="186">
        <v>0</v>
      </c>
      <c r="S13" s="229">
        <v>0</v>
      </c>
      <c r="T13" s="229">
        <v>0</v>
      </c>
      <c r="U13" s="229">
        <v>0</v>
      </c>
      <c r="V13" s="519">
        <v>0</v>
      </c>
      <c r="W13" s="212"/>
      <c r="X13" s="254"/>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300000</v>
      </c>
      <c r="I14" s="251">
        <v>0</v>
      </c>
      <c r="J14" s="251">
        <v>25000</v>
      </c>
      <c r="K14" s="252">
        <f aca="true" t="shared" si="0" ref="K14:K25">H14+I14-J14</f>
        <v>275000</v>
      </c>
      <c r="L14" s="220"/>
      <c r="M14" s="221"/>
      <c r="N14" s="221"/>
      <c r="O14" s="222"/>
      <c r="P14" s="256">
        <v>0</v>
      </c>
      <c r="Q14" s="192">
        <v>0</v>
      </c>
      <c r="R14" s="192">
        <v>0</v>
      </c>
      <c r="S14" s="229">
        <v>0</v>
      </c>
      <c r="T14" s="229">
        <v>160000</v>
      </c>
      <c r="U14" s="229">
        <v>0</v>
      </c>
      <c r="V14" s="520">
        <v>160000</v>
      </c>
      <c r="W14" s="193"/>
      <c r="X14" s="193"/>
      <c r="Y14" s="224">
        <v>0</v>
      </c>
      <c r="Z14" s="225"/>
      <c r="AA14" s="196"/>
      <c r="AB14" s="522"/>
      <c r="AC14" s="192">
        <v>115000</v>
      </c>
      <c r="AD14" s="192"/>
      <c r="AE14" s="194"/>
      <c r="AF14" s="522">
        <v>115000</v>
      </c>
      <c r="AG14" s="31"/>
      <c r="AH14" s="60" t="s">
        <v>71</v>
      </c>
      <c r="AK14" s="63" t="s">
        <v>73</v>
      </c>
      <c r="AL14" s="64">
        <f>IF(V13+V14+V15+V16+V17+V20*Assumptions!F20=0,"n.a.",V13+V14+V15+V16+V17+V20*Assumptions!F20)</f>
        <v>197500</v>
      </c>
      <c r="AM14" s="64" t="str">
        <f>IF(AB14+AB15+AB16+AB17+AB20*Assumptions!F20=0,"n.a.",AB14+AB15+AB16+AB17+(AB20*Assumptions!F20))</f>
        <v>n.a.</v>
      </c>
      <c r="AN14" s="65">
        <f>IF(AF14+AF15+AF16+AF17+AF20*Assumptions!F20=0,"n.a.",AF14+AF15+AF16+AF17+(AF20*Assumptions!F20))</f>
        <v>115000</v>
      </c>
      <c r="AO14" s="66">
        <f>SUM(AL14:AN14)</f>
        <v>312500</v>
      </c>
      <c r="AP14" s="67">
        <f>AO14/$AO$19</f>
        <v>0.15927624872579002</v>
      </c>
      <c r="AQ14" s="57"/>
    </row>
    <row r="15" spans="3:43" ht="38.25" customHeight="1" thickBot="1">
      <c r="C15" s="51" t="s">
        <v>74</v>
      </c>
      <c r="D15" s="5"/>
      <c r="E15" s="1391"/>
      <c r="F15" s="61" t="s">
        <v>75</v>
      </c>
      <c r="G15" s="102" t="s">
        <v>119</v>
      </c>
      <c r="H15" s="257">
        <v>0</v>
      </c>
      <c r="I15" s="257">
        <v>0</v>
      </c>
      <c r="J15" s="257">
        <v>0</v>
      </c>
      <c r="K15" s="252">
        <f t="shared" si="0"/>
        <v>0</v>
      </c>
      <c r="L15" s="220"/>
      <c r="M15" s="197">
        <v>0</v>
      </c>
      <c r="N15" s="197">
        <v>0</v>
      </c>
      <c r="O15" s="197">
        <v>0</v>
      </c>
      <c r="P15" s="192">
        <v>0</v>
      </c>
      <c r="Q15" s="192">
        <v>0</v>
      </c>
      <c r="R15" s="192">
        <v>0</v>
      </c>
      <c r="S15" s="229">
        <v>0</v>
      </c>
      <c r="T15" s="229">
        <v>0</v>
      </c>
      <c r="U15" s="229">
        <v>0</v>
      </c>
      <c r="V15" s="520">
        <v>0</v>
      </c>
      <c r="W15" s="193"/>
      <c r="X15" s="193"/>
      <c r="Y15" s="224">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1015000</v>
      </c>
      <c r="AM15" s="68">
        <f>IF(AB18+AB19+AB23+(AB24*Assumptions!F6)+(AB25)+(AB22*Assumptions!F16)=0,"n.a.",AB18+AB19+AB23+(AB24*Assumptions!F6)+(AB25)+(AB22*Assumptions!F16))</f>
        <v>150000</v>
      </c>
      <c r="AN15" s="69">
        <f>IF(AF18+AF19+(AF23*Assumptions!F9)+(AF24*Assumptions!F6)+(AF22*Assumptions!F16)=0,"n.a.",AF18+AF19+(AF23*Assumptions!F9)+(AF24*Assumptions!F6)+(AF22*Assumptions!F16))</f>
        <v>222000</v>
      </c>
      <c r="AO15" s="66">
        <f>SUM(AL15:AN15)</f>
        <v>1387000</v>
      </c>
      <c r="AP15" s="67">
        <f>AO15/$AO$19</f>
        <v>0.7069317023445464</v>
      </c>
      <c r="AQ15" s="57"/>
    </row>
    <row r="16" spans="3:43" ht="38.25" customHeight="1" thickBot="1">
      <c r="C16" s="60" t="s">
        <v>77</v>
      </c>
      <c r="D16" s="5"/>
      <c r="E16" s="1391"/>
      <c r="F16" s="61" t="s">
        <v>78</v>
      </c>
      <c r="G16" s="102" t="s">
        <v>119</v>
      </c>
      <c r="H16" s="251">
        <v>0</v>
      </c>
      <c r="I16" s="251">
        <v>0</v>
      </c>
      <c r="J16" s="251">
        <v>0</v>
      </c>
      <c r="K16" s="252">
        <f t="shared" si="0"/>
        <v>0</v>
      </c>
      <c r="L16" s="220"/>
      <c r="M16" s="197">
        <v>0</v>
      </c>
      <c r="N16" s="197">
        <v>0</v>
      </c>
      <c r="O16" s="197">
        <v>0</v>
      </c>
      <c r="P16" s="192">
        <v>0</v>
      </c>
      <c r="Q16" s="192">
        <v>0</v>
      </c>
      <c r="R16" s="192">
        <v>0</v>
      </c>
      <c r="S16" s="229">
        <v>0</v>
      </c>
      <c r="T16" s="229">
        <v>0</v>
      </c>
      <c r="U16" s="229">
        <v>0</v>
      </c>
      <c r="V16" s="520">
        <v>0</v>
      </c>
      <c r="W16" s="193"/>
      <c r="X16" s="193"/>
      <c r="Y16" s="224">
        <v>0</v>
      </c>
      <c r="Z16" s="225"/>
      <c r="AA16" s="196"/>
      <c r="AB16" s="522"/>
      <c r="AC16" s="192"/>
      <c r="AD16" s="192"/>
      <c r="AE16" s="194"/>
      <c r="AF16" s="522"/>
      <c r="AG16" s="31"/>
      <c r="AH16" s="60" t="s">
        <v>77</v>
      </c>
      <c r="AK16" s="430" t="s">
        <v>79</v>
      </c>
      <c r="AL16" s="70">
        <f>IF(V21*Assumptions!F20=0,"n.a.",V21*Assumptions!F20)</f>
        <v>187500</v>
      </c>
      <c r="AM16" s="70" t="str">
        <f>IF(AB21*Assumptions!F20=0,"n.a.",AB21*Assumptions!F20)</f>
        <v>n.a.</v>
      </c>
      <c r="AN16" s="71">
        <f>IF(AF21*Assumptions!F20=0,"n.a.",AF21*Assumptions!F20)</f>
        <v>75000</v>
      </c>
      <c r="AO16" s="72">
        <f>SUM(AL16:AN16)</f>
        <v>262500</v>
      </c>
      <c r="AP16" s="67">
        <f>AO16/$AO$19</f>
        <v>0.13379204892966362</v>
      </c>
      <c r="AQ16" s="73"/>
    </row>
    <row r="17" spans="3:43" ht="38.25" customHeight="1" thickBot="1" thickTop="1">
      <c r="C17" s="51" t="s">
        <v>80</v>
      </c>
      <c r="D17" s="5"/>
      <c r="E17" s="1391"/>
      <c r="F17" s="61" t="s">
        <v>81</v>
      </c>
      <c r="G17" s="102" t="s">
        <v>119</v>
      </c>
      <c r="H17" s="258" t="s">
        <v>259</v>
      </c>
      <c r="I17" s="258">
        <v>0</v>
      </c>
      <c r="J17" s="258">
        <v>0</v>
      </c>
      <c r="K17" s="252">
        <v>700</v>
      </c>
      <c r="L17" s="220"/>
      <c r="M17" s="197">
        <v>0</v>
      </c>
      <c r="N17" s="197">
        <v>0</v>
      </c>
      <c r="O17" s="197" t="s">
        <v>259</v>
      </c>
      <c r="P17" s="192">
        <v>0</v>
      </c>
      <c r="Q17" s="192">
        <v>0</v>
      </c>
      <c r="R17" s="192">
        <v>0</v>
      </c>
      <c r="S17" s="229">
        <v>0</v>
      </c>
      <c r="T17" s="229">
        <v>0</v>
      </c>
      <c r="U17" s="229">
        <v>0</v>
      </c>
      <c r="V17" s="520">
        <v>0</v>
      </c>
      <c r="W17" s="193"/>
      <c r="X17" s="193"/>
      <c r="Y17" s="224">
        <v>0</v>
      </c>
      <c r="Z17" s="225"/>
      <c r="AA17" s="196"/>
      <c r="AB17" s="522"/>
      <c r="AC17" s="192"/>
      <c r="AD17" s="192"/>
      <c r="AE17" s="194"/>
      <c r="AF17" s="522"/>
      <c r="AG17" s="31"/>
      <c r="AH17" s="51" t="s">
        <v>80</v>
      </c>
      <c r="AK17" s="431" t="s">
        <v>354</v>
      </c>
      <c r="AL17" s="74">
        <f>SUM(AL14:AL16)</f>
        <v>1400000</v>
      </c>
      <c r="AM17" s="75">
        <f>SUM(AM14:AM16)</f>
        <v>150000</v>
      </c>
      <c r="AN17" s="75">
        <f>SUM(AN14:AN16)</f>
        <v>412000</v>
      </c>
      <c r="AO17" s="1443"/>
      <c r="AP17" s="1444"/>
      <c r="AQ17" s="76">
        <f>SUM(AL17:AN17)</f>
        <v>1962000</v>
      </c>
    </row>
    <row r="18" spans="3:43" ht="38.25" customHeight="1" thickBot="1" thickTop="1">
      <c r="C18" s="60" t="s">
        <v>82</v>
      </c>
      <c r="D18" s="5"/>
      <c r="E18" s="1391"/>
      <c r="F18" s="61" t="s">
        <v>83</v>
      </c>
      <c r="G18" s="102" t="s">
        <v>119</v>
      </c>
      <c r="H18" s="251">
        <v>330000</v>
      </c>
      <c r="I18" s="251">
        <v>300000</v>
      </c>
      <c r="J18" s="251">
        <v>25000</v>
      </c>
      <c r="K18" s="252">
        <f t="shared" si="0"/>
        <v>605000</v>
      </c>
      <c r="L18" s="220"/>
      <c r="M18" s="197">
        <v>0</v>
      </c>
      <c r="N18" s="197">
        <v>210000</v>
      </c>
      <c r="O18" s="199">
        <v>190000</v>
      </c>
      <c r="P18" s="192"/>
      <c r="Q18" s="192">
        <v>0</v>
      </c>
      <c r="R18" s="192">
        <v>0</v>
      </c>
      <c r="S18" s="193"/>
      <c r="T18" s="229">
        <v>200000</v>
      </c>
      <c r="U18" s="229"/>
      <c r="V18" s="526">
        <v>190000</v>
      </c>
      <c r="W18" s="193"/>
      <c r="X18" s="193"/>
      <c r="Y18" s="224">
        <v>0</v>
      </c>
      <c r="Z18" s="225"/>
      <c r="AA18" s="196"/>
      <c r="AB18" s="528"/>
      <c r="AC18" s="192"/>
      <c r="AD18" s="192"/>
      <c r="AE18" s="194"/>
      <c r="AF18" s="528"/>
      <c r="AG18" s="31"/>
      <c r="AH18" s="60" t="s">
        <v>82</v>
      </c>
      <c r="AK18" s="431" t="s">
        <v>70</v>
      </c>
      <c r="AL18" s="78">
        <f>AL17/$AQ$17</f>
        <v>0.7135575942915392</v>
      </c>
      <c r="AM18" s="78">
        <f>AM17/$AQ$17</f>
        <v>0.0764525993883792</v>
      </c>
      <c r="AN18" s="78">
        <f>AN17/$AQ$17</f>
        <v>0.20998980632008155</v>
      </c>
      <c r="AO18" s="1445"/>
      <c r="AP18" s="1446"/>
      <c r="AQ18" s="57"/>
    </row>
    <row r="19" spans="3:43" ht="38.25" customHeight="1" thickBot="1">
      <c r="C19" s="51" t="s">
        <v>84</v>
      </c>
      <c r="D19" s="5"/>
      <c r="E19" s="1391"/>
      <c r="F19" s="61" t="s">
        <v>409</v>
      </c>
      <c r="G19" s="102" t="s">
        <v>119</v>
      </c>
      <c r="H19" s="251" t="s">
        <v>260</v>
      </c>
      <c r="I19" s="251">
        <v>0</v>
      </c>
      <c r="J19" s="251" t="s">
        <v>261</v>
      </c>
      <c r="K19" s="252">
        <v>460000</v>
      </c>
      <c r="L19" s="220"/>
      <c r="M19" s="197">
        <v>0</v>
      </c>
      <c r="N19" s="197">
        <v>0</v>
      </c>
      <c r="O19" s="199" t="s">
        <v>262</v>
      </c>
      <c r="P19" s="192">
        <v>0</v>
      </c>
      <c r="Q19" s="192">
        <v>0</v>
      </c>
      <c r="R19" s="192">
        <v>0</v>
      </c>
      <c r="S19" s="229">
        <v>0</v>
      </c>
      <c r="T19" s="229">
        <v>0</v>
      </c>
      <c r="U19" s="229">
        <v>25000</v>
      </c>
      <c r="V19" s="526">
        <v>25000</v>
      </c>
      <c r="W19" s="193"/>
      <c r="X19" s="193"/>
      <c r="Y19" s="224">
        <v>0</v>
      </c>
      <c r="Z19" s="225">
        <v>100000</v>
      </c>
      <c r="AA19" s="196">
        <v>50000</v>
      </c>
      <c r="AB19" s="528">
        <v>150000</v>
      </c>
      <c r="AC19" s="192"/>
      <c r="AD19" s="192"/>
      <c r="AE19" s="194"/>
      <c r="AF19" s="528"/>
      <c r="AG19" s="31"/>
      <c r="AH19" s="51" t="s">
        <v>84</v>
      </c>
      <c r="AK19" s="1447"/>
      <c r="AL19" s="1447"/>
      <c r="AM19" s="1447"/>
      <c r="AN19" s="1448"/>
      <c r="AO19" s="79">
        <f>SUM(AO14:AO16)</f>
        <v>1962000</v>
      </c>
      <c r="AP19" s="1449"/>
      <c r="AQ19" s="1447"/>
    </row>
    <row r="20" spans="3:43" ht="28.5" customHeight="1" thickBot="1">
      <c r="C20" s="60" t="s">
        <v>85</v>
      </c>
      <c r="D20" s="5"/>
      <c r="E20" s="1391"/>
      <c r="F20" s="61" t="s">
        <v>86</v>
      </c>
      <c r="G20" s="102" t="s">
        <v>87</v>
      </c>
      <c r="H20" s="251" t="s">
        <v>263</v>
      </c>
      <c r="I20" s="251">
        <v>0</v>
      </c>
      <c r="J20" s="251">
        <v>0</v>
      </c>
      <c r="K20" s="252"/>
      <c r="L20" s="220"/>
      <c r="M20" s="197">
        <v>0</v>
      </c>
      <c r="N20" s="197">
        <v>0</v>
      </c>
      <c r="O20" s="197">
        <v>0</v>
      </c>
      <c r="P20" s="192">
        <v>0</v>
      </c>
      <c r="Q20" s="192">
        <v>0</v>
      </c>
      <c r="R20" s="192">
        <v>0</v>
      </c>
      <c r="S20" s="229"/>
      <c r="T20" s="229"/>
      <c r="U20" s="229">
        <v>25000</v>
      </c>
      <c r="V20" s="520">
        <v>25000</v>
      </c>
      <c r="W20" s="226"/>
      <c r="X20" s="226"/>
      <c r="Y20" s="224">
        <v>0</v>
      </c>
      <c r="Z20" s="200"/>
      <c r="AA20" s="201"/>
      <c r="AB20" s="522"/>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419" t="s">
        <v>87</v>
      </c>
      <c r="H21" s="251">
        <v>1250000</v>
      </c>
      <c r="I21" s="251">
        <v>0</v>
      </c>
      <c r="J21" s="251">
        <v>0</v>
      </c>
      <c r="K21" s="252">
        <f t="shared" si="0"/>
        <v>1250000</v>
      </c>
      <c r="L21" s="220"/>
      <c r="M21" s="229">
        <v>0</v>
      </c>
      <c r="N21" s="229">
        <v>0</v>
      </c>
      <c r="O21" s="230">
        <v>130000</v>
      </c>
      <c r="P21" s="192">
        <v>60000</v>
      </c>
      <c r="Q21" s="192">
        <v>0</v>
      </c>
      <c r="R21" s="192">
        <v>0</v>
      </c>
      <c r="S21" s="229"/>
      <c r="T21" s="229">
        <v>100000</v>
      </c>
      <c r="U21" s="229">
        <v>25000</v>
      </c>
      <c r="V21" s="516">
        <v>125000</v>
      </c>
      <c r="W21" s="193"/>
      <c r="X21" s="193"/>
      <c r="Y21" s="224">
        <v>0</v>
      </c>
      <c r="Z21" s="225"/>
      <c r="AA21" s="196"/>
      <c r="AB21" s="532"/>
      <c r="AC21" s="192" t="s">
        <v>264</v>
      </c>
      <c r="AD21" s="192"/>
      <c r="AE21" s="194"/>
      <c r="AF21" s="532">
        <v>50000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t="s">
        <v>265</v>
      </c>
      <c r="I22" s="251">
        <v>0</v>
      </c>
      <c r="J22" s="251">
        <v>0</v>
      </c>
      <c r="K22" s="252"/>
      <c r="L22" s="220"/>
      <c r="M22" s="197">
        <v>0</v>
      </c>
      <c r="N22" s="221"/>
      <c r="O22" s="199" t="s">
        <v>265</v>
      </c>
      <c r="P22" s="192">
        <v>0</v>
      </c>
      <c r="Q22" s="221"/>
      <c r="R22" s="192">
        <v>0</v>
      </c>
      <c r="S22" s="229">
        <v>0</v>
      </c>
      <c r="T22" s="229">
        <v>0</v>
      </c>
      <c r="U22" s="229">
        <v>0</v>
      </c>
      <c r="V22" s="526">
        <v>0</v>
      </c>
      <c r="W22" s="193"/>
      <c r="X22" s="193"/>
      <c r="Y22" s="224">
        <v>0</v>
      </c>
      <c r="Z22" s="225"/>
      <c r="AA22" s="196"/>
      <c r="AB22" s="528"/>
      <c r="AC22" s="192"/>
      <c r="AD22" s="192"/>
      <c r="AE22" s="194"/>
      <c r="AF22" s="528"/>
      <c r="AG22" s="31"/>
      <c r="AH22" s="60" t="s">
        <v>90</v>
      </c>
      <c r="AK22" s="57"/>
      <c r="AL22" s="96" t="s">
        <v>349</v>
      </c>
      <c r="AM22" s="97"/>
      <c r="AN22" s="98">
        <f>(K13+K14+K20)</f>
        <v>950000</v>
      </c>
      <c r="AO22" s="99">
        <v>1</v>
      </c>
      <c r="AP22" s="81"/>
      <c r="AQ22" s="57"/>
    </row>
    <row r="23" spans="3:41" ht="28.5" customHeight="1" thickBot="1">
      <c r="C23" s="51" t="s">
        <v>94</v>
      </c>
      <c r="D23" s="5"/>
      <c r="E23" s="1391"/>
      <c r="F23" s="61" t="s">
        <v>95</v>
      </c>
      <c r="G23" s="102" t="s">
        <v>99</v>
      </c>
      <c r="H23" s="251">
        <v>9000</v>
      </c>
      <c r="I23" s="251">
        <v>57000</v>
      </c>
      <c r="J23" s="251">
        <v>29000</v>
      </c>
      <c r="K23" s="252">
        <f t="shared" si="0"/>
        <v>37000</v>
      </c>
      <c r="L23" s="220"/>
      <c r="M23" s="221"/>
      <c r="N23" s="221"/>
      <c r="O23" s="221"/>
      <c r="P23" s="221"/>
      <c r="Q23" s="221"/>
      <c r="R23" s="222"/>
      <c r="S23" s="229">
        <v>0</v>
      </c>
      <c r="T23" s="229">
        <v>0</v>
      </c>
      <c r="U23" s="229">
        <v>0</v>
      </c>
      <c r="V23" s="526">
        <v>0</v>
      </c>
      <c r="W23" s="193"/>
      <c r="X23" s="193"/>
      <c r="Y23" s="224">
        <v>0</v>
      </c>
      <c r="Z23" s="225"/>
      <c r="AA23" s="196"/>
      <c r="AB23" s="528"/>
      <c r="AC23" s="192">
        <v>37000</v>
      </c>
      <c r="AD23" s="192"/>
      <c r="AE23" s="194"/>
      <c r="AF23" s="528">
        <v>37000</v>
      </c>
      <c r="AG23" s="31"/>
      <c r="AH23" s="51" t="s">
        <v>94</v>
      </c>
      <c r="AL23" s="96" t="s">
        <v>93</v>
      </c>
      <c r="AM23" s="97"/>
      <c r="AN23" s="100">
        <f>AQ17</f>
        <v>1962000</v>
      </c>
      <c r="AO23" s="101">
        <f>AN23/AN22</f>
        <v>2.0652631578947367</v>
      </c>
    </row>
    <row r="24" spans="3:41" ht="28.5" customHeight="1" thickBot="1">
      <c r="C24" s="60" t="s">
        <v>97</v>
      </c>
      <c r="D24" s="5"/>
      <c r="E24" s="1391"/>
      <c r="F24" s="61" t="s">
        <v>98</v>
      </c>
      <c r="G24" s="102" t="s">
        <v>99</v>
      </c>
      <c r="H24" s="251">
        <v>60000</v>
      </c>
      <c r="I24" s="251">
        <v>400000</v>
      </c>
      <c r="J24" s="251">
        <v>60000</v>
      </c>
      <c r="K24" s="252">
        <f t="shared" si="0"/>
        <v>400000</v>
      </c>
      <c r="L24" s="220"/>
      <c r="M24" s="221"/>
      <c r="N24" s="221"/>
      <c r="O24" s="221"/>
      <c r="P24" s="221"/>
      <c r="Q24" s="221"/>
      <c r="R24" s="222"/>
      <c r="S24" s="229">
        <v>0</v>
      </c>
      <c r="T24" s="229">
        <v>400000</v>
      </c>
      <c r="U24" s="229">
        <v>0</v>
      </c>
      <c r="V24" s="526">
        <v>400000</v>
      </c>
      <c r="W24" s="193"/>
      <c r="X24" s="193"/>
      <c r="Y24" s="224">
        <v>0</v>
      </c>
      <c r="Z24" s="225"/>
      <c r="AA24" s="196"/>
      <c r="AB24" s="528"/>
      <c r="AC24" s="192"/>
      <c r="AD24" s="192"/>
      <c r="AE24" s="194"/>
      <c r="AF24" s="528"/>
      <c r="AG24" s="31"/>
      <c r="AH24" s="60" t="s">
        <v>97</v>
      </c>
      <c r="AL24" s="96" t="s">
        <v>551</v>
      </c>
      <c r="AM24" s="97"/>
      <c r="AN24" s="98"/>
      <c r="AO24" s="99">
        <f>AO14/AN23</f>
        <v>0.15927624872579002</v>
      </c>
    </row>
    <row r="25" spans="3:41" ht="28.5" customHeight="1" thickBot="1">
      <c r="C25" s="104" t="s">
        <v>100</v>
      </c>
      <c r="D25" s="5"/>
      <c r="E25" s="1392"/>
      <c r="F25" s="105" t="s">
        <v>101</v>
      </c>
      <c r="G25" s="420"/>
      <c r="H25" s="259"/>
      <c r="I25" s="259"/>
      <c r="J25" s="260"/>
      <c r="K25" s="252">
        <f t="shared" si="0"/>
        <v>0</v>
      </c>
      <c r="L25" s="232"/>
      <c r="M25" s="234"/>
      <c r="N25" s="234"/>
      <c r="O25" s="234"/>
      <c r="P25" s="234"/>
      <c r="Q25" s="234"/>
      <c r="R25" s="233"/>
      <c r="S25" s="232"/>
      <c r="T25" s="234"/>
      <c r="U25" s="233"/>
      <c r="V25" s="526"/>
      <c r="W25" s="235"/>
      <c r="X25" s="236"/>
      <c r="Y25" s="224">
        <v>0</v>
      </c>
      <c r="Z25" s="237"/>
      <c r="AA25" s="238"/>
      <c r="AB25" s="528"/>
      <c r="AC25" s="232"/>
      <c r="AD25" s="234"/>
      <c r="AE25" s="239"/>
      <c r="AF25" s="224"/>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c r="I26" s="207"/>
      <c r="J26" s="207"/>
      <c r="K26" s="207"/>
      <c r="L26" s="241"/>
      <c r="M26" s="241"/>
      <c r="N26" s="241"/>
      <c r="O26" s="241"/>
      <c r="P26" s="262"/>
      <c r="Q26" s="116"/>
      <c r="R26" s="243" t="s">
        <v>104</v>
      </c>
      <c r="S26" s="208"/>
      <c r="T26" s="244"/>
      <c r="U26" s="263"/>
      <c r="V26" s="264">
        <v>1555000</v>
      </c>
      <c r="W26" s="208"/>
      <c r="X26" s="244"/>
      <c r="Y26" s="122">
        <v>0</v>
      </c>
      <c r="Z26" s="245"/>
      <c r="AA26" s="246"/>
      <c r="AB26" s="247">
        <v>150000</v>
      </c>
      <c r="AC26" s="245"/>
      <c r="AD26" s="248"/>
      <c r="AE26" s="246"/>
      <c r="AF26" s="247">
        <v>437000</v>
      </c>
      <c r="AG26" s="127"/>
      <c r="AH26" s="104" t="s">
        <v>103</v>
      </c>
      <c r="AJ26" s="1"/>
      <c r="AK26" s="1"/>
      <c r="AL26" s="96" t="s">
        <v>102</v>
      </c>
      <c r="AM26" s="97"/>
      <c r="AN26" s="107">
        <f>AO14/AL9</f>
        <v>0.01894920043772956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t="e">
        <f>VLOOKUP(AC2,'JFSQ p70'!6:58,11,FALSE)*1000</f>
        <v>#N/A</v>
      </c>
      <c r="AC27" s="134"/>
      <c r="AD27" s="5"/>
      <c r="AE27" s="5"/>
      <c r="AF27" s="135"/>
      <c r="AG27" s="31"/>
      <c r="AH27" s="136"/>
      <c r="AL27" s="96" t="s">
        <v>105</v>
      </c>
      <c r="AM27" s="103"/>
      <c r="AN27" s="107">
        <f>((AN23/Assumptions!F20)*Assumptions!F30/1000000)</f>
        <v>0.420522</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494</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J3"/>
    <mergeCell ref="AC4:AG4"/>
    <mergeCell ref="O11:O12"/>
    <mergeCell ref="Z11:AB11"/>
    <mergeCell ref="L8:AF8"/>
    <mergeCell ref="AF11:AF12"/>
    <mergeCell ref="E13:E25"/>
    <mergeCell ref="J9:J12"/>
    <mergeCell ref="K9:K12"/>
    <mergeCell ref="I9:I12"/>
    <mergeCell ref="AJ9:AK9"/>
    <mergeCell ref="N11:N12"/>
    <mergeCell ref="L9:R10"/>
    <mergeCell ref="P11:R11"/>
    <mergeCell ref="S9:AD9"/>
    <mergeCell ref="S10:Y10"/>
    <mergeCell ref="AE11:AE12"/>
    <mergeCell ref="AC11:AC12"/>
    <mergeCell ref="S11:V11"/>
    <mergeCell ref="W11:Y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codeName="Tabelle28">
    <tabColor indexed="11"/>
  </sheetPr>
  <dimension ref="C1:AS95"/>
  <sheetViews>
    <sheetView zoomScale="75" zoomScaleNormal="75" zoomScaleSheetLayoutView="70" workbookViewId="0" topLeftCell="AG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7109375" style="159" customWidth="1"/>
    <col min="10" max="10" width="8.574218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9.28125" style="1" customWidth="1"/>
    <col min="26" max="26" width="9.57421875" style="1" customWidth="1"/>
    <col min="27" max="27" width="8.140625" style="1" customWidth="1"/>
    <col min="28" max="28" width="9.8515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127</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Norway</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4610820</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1.2520115727788115</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251">
        <v>8490000</v>
      </c>
      <c r="I13" s="251">
        <v>3256000</v>
      </c>
      <c r="J13" s="251">
        <v>524000</v>
      </c>
      <c r="K13" s="252">
        <f aca="true" t="shared" si="0" ref="K13:K18">H13+I13-J13</f>
        <v>11222000</v>
      </c>
      <c r="L13" s="185">
        <v>5138700</v>
      </c>
      <c r="M13" s="186">
        <v>136400</v>
      </c>
      <c r="N13" s="186">
        <v>4556000</v>
      </c>
      <c r="O13" s="187">
        <v>336000</v>
      </c>
      <c r="P13" s="253" t="s">
        <v>123</v>
      </c>
      <c r="Q13" s="187" t="s">
        <v>123</v>
      </c>
      <c r="R13" s="186" t="s">
        <v>123</v>
      </c>
      <c r="S13" s="229" t="s">
        <v>124</v>
      </c>
      <c r="T13" s="229" t="s">
        <v>124</v>
      </c>
      <c r="U13" s="229" t="s">
        <v>124</v>
      </c>
      <c r="V13" s="519"/>
      <c r="W13" s="212"/>
      <c r="X13" s="254"/>
      <c r="Y13" s="216">
        <f aca="true" t="shared" si="1" ref="Y13:Y25">W13*23.884+X13*85.984</f>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251">
        <v>2930000</v>
      </c>
      <c r="I14" s="251">
        <v>190000</v>
      </c>
      <c r="J14" s="251">
        <v>1710</v>
      </c>
      <c r="K14" s="255">
        <f t="shared" si="0"/>
        <v>3118290</v>
      </c>
      <c r="L14" s="220"/>
      <c r="M14" s="221"/>
      <c r="N14" s="221"/>
      <c r="O14" s="222"/>
      <c r="P14" s="256" t="s">
        <v>123</v>
      </c>
      <c r="Q14" s="192" t="s">
        <v>123</v>
      </c>
      <c r="R14" s="192" t="s">
        <v>123</v>
      </c>
      <c r="S14" s="229" t="s">
        <v>124</v>
      </c>
      <c r="T14" s="229" t="s">
        <v>124</v>
      </c>
      <c r="U14" s="229" t="s">
        <v>124</v>
      </c>
      <c r="V14" s="520"/>
      <c r="W14" s="193"/>
      <c r="X14" s="193"/>
      <c r="Y14" s="224">
        <f t="shared" si="1"/>
        <v>0</v>
      </c>
      <c r="Z14" s="225"/>
      <c r="AA14" s="196"/>
      <c r="AB14" s="522"/>
      <c r="AC14" s="192">
        <v>3120000</v>
      </c>
      <c r="AD14" s="192">
        <v>8000</v>
      </c>
      <c r="AE14" s="194"/>
      <c r="AF14" s="522">
        <f>SUM(AC14:AD14)</f>
        <v>3128000</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3128000</v>
      </c>
      <c r="AO14" s="66">
        <f>SUM(AL14:AN14)</f>
        <v>3128000</v>
      </c>
      <c r="AP14" s="67">
        <f>AO14/$AO$19</f>
        <v>0.5418514412416852</v>
      </c>
      <c r="AQ14" s="57"/>
    </row>
    <row r="15" spans="3:43" ht="38.25" customHeight="1" thickBot="1">
      <c r="C15" s="51" t="s">
        <v>74</v>
      </c>
      <c r="D15" s="5"/>
      <c r="E15" s="1391"/>
      <c r="F15" s="61" t="s">
        <v>75</v>
      </c>
      <c r="G15" s="53" t="s">
        <v>65</v>
      </c>
      <c r="H15" s="257" t="s">
        <v>125</v>
      </c>
      <c r="I15" s="257" t="s">
        <v>125</v>
      </c>
      <c r="J15" s="257" t="s">
        <v>125</v>
      </c>
      <c r="K15" s="255" t="e">
        <f t="shared" si="0"/>
        <v>#VALUE!</v>
      </c>
      <c r="L15" s="220"/>
      <c r="M15" s="197" t="s">
        <v>125</v>
      </c>
      <c r="N15" s="197" t="s">
        <v>125</v>
      </c>
      <c r="O15" s="197" t="s">
        <v>125</v>
      </c>
      <c r="P15" s="192" t="s">
        <v>123</v>
      </c>
      <c r="Q15" s="192" t="s">
        <v>123</v>
      </c>
      <c r="R15" s="192" t="s">
        <v>123</v>
      </c>
      <c r="S15" s="229" t="s">
        <v>124</v>
      </c>
      <c r="T15" s="229" t="s">
        <v>124</v>
      </c>
      <c r="U15" s="229" t="s">
        <v>124</v>
      </c>
      <c r="V15" s="520"/>
      <c r="W15" s="193"/>
      <c r="X15" s="193"/>
      <c r="Y15" s="224">
        <f t="shared" si="1"/>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336797.1732503888</v>
      </c>
      <c r="AM15" s="68">
        <f>IF(AB18+AB19+(AB23*Assumptions!F9)+(AB24*Assumptions!F6)+(AB25)+(AB22*Assumptions!F16)=0,"n.a.",AB18+AB19+(AB23*Assumptions!F9)+(AB24*Assumptions!F6)+(AB25)+(AB22*Assumptions!F16))</f>
        <v>2010702.8267496112</v>
      </c>
      <c r="AN15" s="69">
        <f>IF(AF18+AF19+(AF23*Assumptions!F9)+(AF24*Assumptions!F6)+(AF22*Assumptions!F16)=0,"n.a.",AF18+AF19+(AF23*Assumptions!F9)+(AF24*Assumptions!F6)+(AF22*Assumptions!F16))</f>
        <v>39000</v>
      </c>
      <c r="AO15" s="66">
        <f>SUM(AL15:AN15)</f>
        <v>2386500</v>
      </c>
      <c r="AP15" s="67">
        <f>AO15/$AO$19</f>
        <v>0.41340424057649666</v>
      </c>
      <c r="AQ15" s="57"/>
    </row>
    <row r="16" spans="3:43" ht="38.25" customHeight="1" thickBot="1">
      <c r="C16" s="60" t="s">
        <v>77</v>
      </c>
      <c r="D16" s="5"/>
      <c r="E16" s="1391"/>
      <c r="F16" s="61" t="s">
        <v>78</v>
      </c>
      <c r="G16" s="53" t="s">
        <v>65</v>
      </c>
      <c r="H16" s="251" t="s">
        <v>125</v>
      </c>
      <c r="I16" s="251" t="s">
        <v>125</v>
      </c>
      <c r="J16" s="251" t="s">
        <v>125</v>
      </c>
      <c r="K16" s="255" t="e">
        <f t="shared" si="0"/>
        <v>#VALUE!</v>
      </c>
      <c r="L16" s="220"/>
      <c r="M16" s="197" t="s">
        <v>125</v>
      </c>
      <c r="N16" s="197" t="s">
        <v>125</v>
      </c>
      <c r="O16" s="197" t="s">
        <v>125</v>
      </c>
      <c r="P16" s="192" t="s">
        <v>123</v>
      </c>
      <c r="Q16" s="192" t="s">
        <v>123</v>
      </c>
      <c r="R16" s="192" t="s">
        <v>123</v>
      </c>
      <c r="S16" s="229" t="s">
        <v>124</v>
      </c>
      <c r="T16" s="229" t="s">
        <v>124</v>
      </c>
      <c r="U16" s="229" t="s">
        <v>124</v>
      </c>
      <c r="V16" s="520"/>
      <c r="W16" s="193"/>
      <c r="X16" s="193"/>
      <c r="Y16" s="224">
        <f t="shared" si="1"/>
        <v>0</v>
      </c>
      <c r="Z16" s="225"/>
      <c r="AA16" s="196"/>
      <c r="AB16" s="523"/>
      <c r="AC16" s="192"/>
      <c r="AD16" s="192"/>
      <c r="AE16" s="194"/>
      <c r="AF16" s="522"/>
      <c r="AG16" s="31"/>
      <c r="AH16" s="60" t="s">
        <v>77</v>
      </c>
      <c r="AK16" s="430" t="s">
        <v>79</v>
      </c>
      <c r="AL16" s="70">
        <f>IF(V21*Assumptions!F20=0,"n.a.",V21*Assumptions!F20)</f>
        <v>258300</v>
      </c>
      <c r="AM16" s="70" t="str">
        <f>IF(AB21*Assumptions!F20=0,"n.a.",AB21*Assumptions!F20)</f>
        <v>n.a.</v>
      </c>
      <c r="AN16" s="71" t="str">
        <f>IF(AF21*Assumptions!F20=0,"n.a.",AF21*Assumptions!F20)</f>
        <v>n.a.</v>
      </c>
      <c r="AO16" s="72">
        <f>SUM(AL16:AN16)</f>
        <v>258300</v>
      </c>
      <c r="AP16" s="67">
        <f>AO16/$AO$19</f>
        <v>0.044744318181818184</v>
      </c>
      <c r="AQ16" s="73"/>
    </row>
    <row r="17" spans="3:43" ht="38.25" customHeight="1" thickBot="1" thickTop="1">
      <c r="C17" s="51" t="s">
        <v>80</v>
      </c>
      <c r="D17" s="5"/>
      <c r="E17" s="1391"/>
      <c r="F17" s="61" t="s">
        <v>81</v>
      </c>
      <c r="G17" s="53" t="s">
        <v>65</v>
      </c>
      <c r="H17" s="258" t="s">
        <v>125</v>
      </c>
      <c r="I17" s="258" t="s">
        <v>125</v>
      </c>
      <c r="J17" s="258" t="s">
        <v>125</v>
      </c>
      <c r="K17" s="255" t="e">
        <f t="shared" si="0"/>
        <v>#VALUE!</v>
      </c>
      <c r="L17" s="220"/>
      <c r="M17" s="197" t="s">
        <v>125</v>
      </c>
      <c r="N17" s="197" t="s">
        <v>125</v>
      </c>
      <c r="O17" s="197" t="s">
        <v>125</v>
      </c>
      <c r="P17" s="192" t="s">
        <v>123</v>
      </c>
      <c r="Q17" s="192" t="s">
        <v>123</v>
      </c>
      <c r="R17" s="192" t="s">
        <v>123</v>
      </c>
      <c r="S17" s="229" t="s">
        <v>124</v>
      </c>
      <c r="T17" s="229" t="s">
        <v>124</v>
      </c>
      <c r="U17" s="229" t="s">
        <v>124</v>
      </c>
      <c r="V17" s="520"/>
      <c r="W17" s="193"/>
      <c r="X17" s="193"/>
      <c r="Y17" s="224">
        <f t="shared" si="1"/>
        <v>0</v>
      </c>
      <c r="Z17" s="225"/>
      <c r="AA17" s="196"/>
      <c r="AB17" s="522"/>
      <c r="AC17" s="192"/>
      <c r="AD17" s="192"/>
      <c r="AE17" s="194"/>
      <c r="AF17" s="522"/>
      <c r="AG17" s="31"/>
      <c r="AH17" s="51" t="s">
        <v>80</v>
      </c>
      <c r="AK17" s="431" t="s">
        <v>354</v>
      </c>
      <c r="AL17" s="74">
        <f>SUM(AL14:AL16)</f>
        <v>595097.1732503888</v>
      </c>
      <c r="AM17" s="75">
        <f>SUM(AM14:AM16)</f>
        <v>2010702.8267496112</v>
      </c>
      <c r="AN17" s="75">
        <f>SUM(AN14:AN16)</f>
        <v>3167000</v>
      </c>
      <c r="AO17" s="1443"/>
      <c r="AP17" s="1444"/>
      <c r="AQ17" s="76">
        <f>SUM(AL17:AN17)</f>
        <v>5772800</v>
      </c>
    </row>
    <row r="18" spans="3:43" ht="38.25" customHeight="1" thickBot="1" thickTop="1">
      <c r="C18" s="60" t="s">
        <v>82</v>
      </c>
      <c r="D18" s="5"/>
      <c r="E18" s="1391"/>
      <c r="F18" s="61" t="s">
        <v>83</v>
      </c>
      <c r="G18" s="53" t="s">
        <v>65</v>
      </c>
      <c r="H18" s="251">
        <v>2611400</v>
      </c>
      <c r="I18" s="251">
        <v>1501000</v>
      </c>
      <c r="J18" s="251"/>
      <c r="K18" s="255">
        <f t="shared" si="0"/>
        <v>4112400</v>
      </c>
      <c r="L18" s="220"/>
      <c r="M18" s="197" t="s">
        <v>124</v>
      </c>
      <c r="N18" s="197">
        <v>2536000</v>
      </c>
      <c r="O18" s="199" t="s">
        <v>124</v>
      </c>
      <c r="P18" s="192">
        <v>100000</v>
      </c>
      <c r="Q18" s="192" t="s">
        <v>123</v>
      </c>
      <c r="R18" s="192" t="s">
        <v>123</v>
      </c>
      <c r="S18" s="193">
        <v>228000</v>
      </c>
      <c r="T18" s="229">
        <v>0</v>
      </c>
      <c r="U18" s="229">
        <v>0</v>
      </c>
      <c r="V18" s="526">
        <f>S18+T18+U18</f>
        <v>228000</v>
      </c>
      <c r="W18" s="193">
        <v>1389</v>
      </c>
      <c r="X18" s="193"/>
      <c r="Y18" s="224">
        <f t="shared" si="1"/>
        <v>33174.876000000004</v>
      </c>
      <c r="Z18" s="225">
        <v>1275000</v>
      </c>
      <c r="AA18" s="196"/>
      <c r="AB18" s="528">
        <v>1275000</v>
      </c>
      <c r="AC18" s="192"/>
      <c r="AD18" s="192"/>
      <c r="AE18" s="194"/>
      <c r="AF18" s="528"/>
      <c r="AG18" s="31"/>
      <c r="AH18" s="60" t="s">
        <v>82</v>
      </c>
      <c r="AK18" s="431" t="s">
        <v>70</v>
      </c>
      <c r="AL18" s="78">
        <f>AL17/$AQ$17</f>
        <v>0.10308640057691049</v>
      </c>
      <c r="AM18" s="78">
        <f>AM17/$AQ$17</f>
        <v>0.3483063377822913</v>
      </c>
      <c r="AN18" s="78">
        <f>AN17/$AQ$17</f>
        <v>0.5486072616407982</v>
      </c>
      <c r="AO18" s="1445"/>
      <c r="AP18" s="1446"/>
      <c r="AQ18" s="57"/>
    </row>
    <row r="19" spans="3:43" ht="38.25" customHeight="1" thickBot="1">
      <c r="C19" s="51" t="s">
        <v>84</v>
      </c>
      <c r="D19" s="5"/>
      <c r="E19" s="1391"/>
      <c r="F19" s="61" t="s">
        <v>409</v>
      </c>
      <c r="G19" s="53" t="s">
        <v>65</v>
      </c>
      <c r="H19" s="251" t="s">
        <v>124</v>
      </c>
      <c r="I19" s="251">
        <v>383000</v>
      </c>
      <c r="J19" s="251">
        <v>108000</v>
      </c>
      <c r="K19" s="255">
        <f>I19-J19</f>
        <v>275000</v>
      </c>
      <c r="L19" s="220"/>
      <c r="M19" s="197" t="s">
        <v>124</v>
      </c>
      <c r="N19" s="197" t="s">
        <v>124</v>
      </c>
      <c r="O19" s="199" t="s">
        <v>124</v>
      </c>
      <c r="P19" s="192" t="s">
        <v>126</v>
      </c>
      <c r="Q19" s="192" t="s">
        <v>123</v>
      </c>
      <c r="R19" s="192" t="s">
        <v>123</v>
      </c>
      <c r="S19" s="229" t="s">
        <v>124</v>
      </c>
      <c r="T19" s="229" t="s">
        <v>124</v>
      </c>
      <c r="U19" s="229" t="s">
        <v>124</v>
      </c>
      <c r="V19" s="526"/>
      <c r="W19" s="193"/>
      <c r="X19" s="193"/>
      <c r="Y19" s="224">
        <f t="shared" si="1"/>
        <v>0</v>
      </c>
      <c r="Z19" s="225"/>
      <c r="AA19" s="196"/>
      <c r="AB19" s="529"/>
      <c r="AC19" s="192"/>
      <c r="AD19" s="192"/>
      <c r="AE19" s="194"/>
      <c r="AF19" s="528"/>
      <c r="AG19" s="31"/>
      <c r="AH19" s="51" t="s">
        <v>84</v>
      </c>
      <c r="AK19" s="1447"/>
      <c r="AL19" s="1447"/>
      <c r="AM19" s="1447"/>
      <c r="AN19" s="1448"/>
      <c r="AO19" s="79">
        <f>SUM(AO14:AO16)</f>
        <v>5772800</v>
      </c>
      <c r="AP19" s="1449"/>
      <c r="AQ19" s="1447"/>
    </row>
    <row r="20" spans="3:43" ht="28.5" customHeight="1" thickBot="1">
      <c r="C20" s="60" t="s">
        <v>85</v>
      </c>
      <c r="D20" s="5"/>
      <c r="E20" s="1391"/>
      <c r="F20" s="61" t="s">
        <v>86</v>
      </c>
      <c r="G20" s="80" t="s">
        <v>87</v>
      </c>
      <c r="H20" s="251" t="s">
        <v>125</v>
      </c>
      <c r="I20" s="251" t="s">
        <v>125</v>
      </c>
      <c r="J20" s="251" t="s">
        <v>125</v>
      </c>
      <c r="K20" s="255">
        <v>0</v>
      </c>
      <c r="L20" s="220"/>
      <c r="M20" s="197" t="s">
        <v>123</v>
      </c>
      <c r="N20" s="197" t="s">
        <v>123</v>
      </c>
      <c r="O20" s="197" t="s">
        <v>123</v>
      </c>
      <c r="P20" s="192" t="s">
        <v>126</v>
      </c>
      <c r="Q20" s="192" t="s">
        <v>123</v>
      </c>
      <c r="R20" s="192" t="s">
        <v>123</v>
      </c>
      <c r="S20" s="229" t="s">
        <v>124</v>
      </c>
      <c r="T20" s="229" t="s">
        <v>124</v>
      </c>
      <c r="U20" s="229" t="s">
        <v>124</v>
      </c>
      <c r="V20" s="520"/>
      <c r="W20" s="226"/>
      <c r="X20" s="226"/>
      <c r="Y20" s="224">
        <f t="shared" si="1"/>
        <v>0</v>
      </c>
      <c r="Z20" s="200"/>
      <c r="AA20" s="201"/>
      <c r="AB20" s="524"/>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251">
        <v>248460</v>
      </c>
      <c r="I21" s="251" t="s">
        <v>124</v>
      </c>
      <c r="J21" s="251">
        <v>0</v>
      </c>
      <c r="K21" s="255" t="e">
        <f>H21+I21-J21</f>
        <v>#VALUE!</v>
      </c>
      <c r="L21" s="220"/>
      <c r="M21" s="229" t="s">
        <v>124</v>
      </c>
      <c r="N21" s="229" t="s">
        <v>124</v>
      </c>
      <c r="O21" s="230" t="s">
        <v>124</v>
      </c>
      <c r="P21" s="192" t="s">
        <v>123</v>
      </c>
      <c r="Q21" s="192" t="s">
        <v>123</v>
      </c>
      <c r="R21" s="192" t="s">
        <v>123</v>
      </c>
      <c r="S21" s="229" t="s">
        <v>124</v>
      </c>
      <c r="T21" s="229" t="s">
        <v>124</v>
      </c>
      <c r="U21" s="229" t="s">
        <v>124</v>
      </c>
      <c r="V21" s="516">
        <v>172200</v>
      </c>
      <c r="W21" s="193"/>
      <c r="X21" s="193"/>
      <c r="Y21" s="224">
        <f t="shared" si="1"/>
        <v>0</v>
      </c>
      <c r="Z21" s="225"/>
      <c r="AA21" s="196"/>
      <c r="AB21" s="532"/>
      <c r="AC21" s="192"/>
      <c r="AD21" s="192"/>
      <c r="AE21" s="194"/>
      <c r="AF21" s="532"/>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251" t="s">
        <v>124</v>
      </c>
      <c r="I22" s="251" t="s">
        <v>124</v>
      </c>
      <c r="J22" s="251" t="s">
        <v>124</v>
      </c>
      <c r="K22" s="255" t="e">
        <f>H22+I22-J22</f>
        <v>#VALUE!</v>
      </c>
      <c r="L22" s="220"/>
      <c r="M22" s="197" t="s">
        <v>124</v>
      </c>
      <c r="N22" s="221"/>
      <c r="O22" s="199" t="s">
        <v>124</v>
      </c>
      <c r="P22" s="192" t="s">
        <v>124</v>
      </c>
      <c r="Q22" s="221"/>
      <c r="R22" s="192" t="s">
        <v>123</v>
      </c>
      <c r="S22" s="229" t="s">
        <v>124</v>
      </c>
      <c r="T22" s="229" t="s">
        <v>124</v>
      </c>
      <c r="U22" s="229" t="s">
        <v>124</v>
      </c>
      <c r="V22" s="526"/>
      <c r="W22" s="193"/>
      <c r="X22" s="193"/>
      <c r="Y22" s="224">
        <f t="shared" si="1"/>
        <v>0</v>
      </c>
      <c r="Z22" s="225"/>
      <c r="AA22" s="196"/>
      <c r="AB22" s="529"/>
      <c r="AC22" s="192"/>
      <c r="AD22" s="192"/>
      <c r="AE22" s="194"/>
      <c r="AF22" s="529"/>
      <c r="AG22" s="31"/>
      <c r="AH22" s="60" t="s">
        <v>90</v>
      </c>
      <c r="AK22" s="57"/>
      <c r="AL22" s="96" t="s">
        <v>349</v>
      </c>
      <c r="AM22" s="97"/>
      <c r="AN22" s="98">
        <f>(K13+K14+K20)</f>
        <v>14340290</v>
      </c>
      <c r="AO22" s="99">
        <v>1</v>
      </c>
      <c r="AP22" s="81"/>
      <c r="AQ22" s="57"/>
    </row>
    <row r="23" spans="3:41" ht="28.5" customHeight="1" thickBot="1">
      <c r="C23" s="51" t="s">
        <v>94</v>
      </c>
      <c r="D23" s="5"/>
      <c r="E23" s="1391"/>
      <c r="F23" s="61" t="s">
        <v>95</v>
      </c>
      <c r="G23" s="80" t="s">
        <v>96</v>
      </c>
      <c r="H23" s="251" t="s">
        <v>124</v>
      </c>
      <c r="I23" s="251">
        <v>77</v>
      </c>
      <c r="J23" s="251">
        <v>4</v>
      </c>
      <c r="K23" s="255" t="e">
        <f>H23+I23-J23</f>
        <v>#VALUE!</v>
      </c>
      <c r="L23" s="220"/>
      <c r="M23" s="221"/>
      <c r="N23" s="221"/>
      <c r="O23" s="221"/>
      <c r="P23" s="221"/>
      <c r="Q23" s="221"/>
      <c r="R23" s="222"/>
      <c r="S23" s="229" t="s">
        <v>124</v>
      </c>
      <c r="T23" s="229" t="s">
        <v>124</v>
      </c>
      <c r="U23" s="229" t="s">
        <v>124</v>
      </c>
      <c r="V23" s="526"/>
      <c r="W23" s="193"/>
      <c r="X23" s="193"/>
      <c r="Y23" s="224">
        <f t="shared" si="1"/>
        <v>0</v>
      </c>
      <c r="Z23" s="225"/>
      <c r="AA23" s="196"/>
      <c r="AB23" s="528"/>
      <c r="AC23" s="192"/>
      <c r="AD23" s="192"/>
      <c r="AE23" s="194"/>
      <c r="AF23" s="529"/>
      <c r="AG23" s="31"/>
      <c r="AH23" s="51" t="s">
        <v>94</v>
      </c>
      <c r="AL23" s="96" t="s">
        <v>93</v>
      </c>
      <c r="AM23" s="97"/>
      <c r="AN23" s="100">
        <f>AQ17</f>
        <v>5772800</v>
      </c>
      <c r="AO23" s="101">
        <f>AN23/AN22</f>
        <v>0.4025581072628238</v>
      </c>
    </row>
    <row r="24" spans="3:41" ht="28.5" customHeight="1" thickBot="1">
      <c r="C24" s="60" t="s">
        <v>97</v>
      </c>
      <c r="D24" s="5"/>
      <c r="E24" s="1391"/>
      <c r="F24" s="61" t="s">
        <v>98</v>
      </c>
      <c r="G24" s="102" t="s">
        <v>99</v>
      </c>
      <c r="H24" s="251">
        <v>42339</v>
      </c>
      <c r="I24" s="251">
        <v>233</v>
      </c>
      <c r="J24" s="251">
        <v>17980</v>
      </c>
      <c r="K24" s="255">
        <f>H24+I24-J24</f>
        <v>24592</v>
      </c>
      <c r="L24" s="220"/>
      <c r="M24" s="221"/>
      <c r="N24" s="221"/>
      <c r="O24" s="221"/>
      <c r="P24" s="221"/>
      <c r="Q24" s="221"/>
      <c r="R24" s="222"/>
      <c r="S24" s="229" t="s">
        <v>124</v>
      </c>
      <c r="T24" s="229" t="s">
        <v>124</v>
      </c>
      <c r="U24" s="229" t="s">
        <v>124</v>
      </c>
      <c r="V24" s="526"/>
      <c r="W24" s="193"/>
      <c r="X24" s="193"/>
      <c r="Y24" s="224">
        <f t="shared" si="1"/>
        <v>0</v>
      </c>
      <c r="Z24" s="225"/>
      <c r="AA24" s="196"/>
      <c r="AB24" s="528"/>
      <c r="AC24" s="192">
        <v>8500</v>
      </c>
      <c r="AD24" s="192"/>
      <c r="AE24" s="194">
        <v>11000</v>
      </c>
      <c r="AF24" s="529">
        <f>SUM(AC24:AE24)</f>
        <v>19500</v>
      </c>
      <c r="AG24" s="31"/>
      <c r="AH24" s="60" t="s">
        <v>97</v>
      </c>
      <c r="AL24" s="96" t="s">
        <v>551</v>
      </c>
      <c r="AM24" s="97"/>
      <c r="AN24" s="98"/>
      <c r="AO24" s="99">
        <f>AO14/AN23</f>
        <v>0.5418514412416852</v>
      </c>
    </row>
    <row r="25" spans="3:41" ht="28.5" customHeight="1" thickBot="1">
      <c r="C25" s="104" t="s">
        <v>100</v>
      </c>
      <c r="D25" s="5"/>
      <c r="E25" s="1392"/>
      <c r="F25" s="105" t="s">
        <v>101</v>
      </c>
      <c r="G25" s="106"/>
      <c r="H25" s="259"/>
      <c r="I25" s="259"/>
      <c r="J25" s="260"/>
      <c r="K25" s="261">
        <f>H25+I25-J25</f>
        <v>0</v>
      </c>
      <c r="L25" s="232"/>
      <c r="M25" s="234"/>
      <c r="N25" s="234"/>
      <c r="O25" s="234"/>
      <c r="P25" s="234"/>
      <c r="Q25" s="234"/>
      <c r="R25" s="233"/>
      <c r="S25" s="232"/>
      <c r="T25" s="234"/>
      <c r="U25" s="233"/>
      <c r="V25" s="526">
        <f>Y25/Assumptions!F30*Assumptions!F20</f>
        <v>108797.17325038879</v>
      </c>
      <c r="W25" s="235"/>
      <c r="X25" s="236">
        <v>271.2</v>
      </c>
      <c r="Y25" s="224">
        <f t="shared" si="1"/>
        <v>23318.8608</v>
      </c>
      <c r="Z25" s="237">
        <v>727000</v>
      </c>
      <c r="AA25" s="238"/>
      <c r="AB25" s="528">
        <f>(VLOOKUP(AC2,'JFSQ p70'!6:58,11,FALSE)*1000*Assumptions!F20)-V25</f>
        <v>735702.8267496112</v>
      </c>
      <c r="AC25" s="232"/>
      <c r="AD25" s="234"/>
      <c r="AE25" s="239"/>
      <c r="AF25" s="240"/>
      <c r="AG25" s="31"/>
      <c r="AH25" s="104" t="s">
        <v>100</v>
      </c>
      <c r="AL25" s="96" t="s">
        <v>552</v>
      </c>
      <c r="AM25" s="103"/>
      <c r="AN25" s="100">
        <f>IF(AB25+V25=0,"n.a.",AB25+V25)</f>
        <v>844500</v>
      </c>
      <c r="AO25" s="421">
        <f>IF(AN25/AN23=0,"n.a.",AN25/AN23)</f>
        <v>0.1462894955654102</v>
      </c>
    </row>
    <row r="26" spans="3:43" s="108" customFormat="1" ht="28.5" customHeight="1" thickBot="1">
      <c r="C26" s="104" t="s">
        <v>103</v>
      </c>
      <c r="D26" s="109"/>
      <c r="E26" s="110"/>
      <c r="F26" s="111"/>
      <c r="G26" s="112"/>
      <c r="H26" s="207"/>
      <c r="I26" s="207"/>
      <c r="J26" s="207"/>
      <c r="K26" s="207"/>
      <c r="L26" s="241"/>
      <c r="M26" s="241"/>
      <c r="N26" s="241"/>
      <c r="O26" s="241"/>
      <c r="P26" s="262">
        <f>SUM(V26:AF26)</f>
        <v>4830262.85259966</v>
      </c>
      <c r="Q26" s="116"/>
      <c r="R26" s="243" t="s">
        <v>104</v>
      </c>
      <c r="S26" s="208"/>
      <c r="T26" s="244"/>
      <c r="U26" s="263"/>
      <c r="V26" s="264">
        <f>V18</f>
        <v>228000</v>
      </c>
      <c r="W26" s="208"/>
      <c r="X26" s="244"/>
      <c r="Y26" s="122">
        <f>V18/Y18*Y25</f>
        <v>160262.85259966002</v>
      </c>
      <c r="Z26" s="245"/>
      <c r="AA26" s="246">
        <v>0</v>
      </c>
      <c r="AB26" s="247">
        <f>SUM(AB14:AB24)</f>
        <v>1275000</v>
      </c>
      <c r="AC26" s="245"/>
      <c r="AD26" s="248"/>
      <c r="AE26" s="246"/>
      <c r="AF26" s="247">
        <f>AF24*2+AF14</f>
        <v>3167000</v>
      </c>
      <c r="AG26" s="127"/>
      <c r="AH26" s="104" t="s">
        <v>103</v>
      </c>
      <c r="AJ26" s="1"/>
      <c r="AK26" s="1"/>
      <c r="AL26" s="96" t="s">
        <v>102</v>
      </c>
      <c r="AM26" s="97"/>
      <c r="AN26" s="107">
        <f>AO14/AL9</f>
        <v>0.6784042751614681</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563000</v>
      </c>
      <c r="AC27" s="134"/>
      <c r="AD27" s="5"/>
      <c r="AE27" s="5"/>
      <c r="AF27" s="135"/>
      <c r="AG27" s="31"/>
      <c r="AH27" s="136"/>
      <c r="AL27" s="96" t="s">
        <v>105</v>
      </c>
      <c r="AM27" s="103"/>
      <c r="AN27" s="107">
        <f>((AN23/Assumptions!F20)*Assumptions!F30/1000000)</f>
        <v>1.2373034666666667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495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2538.432</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0.060438857142857134</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f>727000*2</f>
        <v>1454000</v>
      </c>
      <c r="AM39" s="422">
        <f>(AL39*2+AN25)/AN23</f>
        <v>0.6500311807095344</v>
      </c>
      <c r="AN39" s="59"/>
      <c r="AO39" s="59"/>
      <c r="AP39" s="59"/>
      <c r="AQ39" s="59"/>
    </row>
    <row r="40" spans="8:39" ht="18.75">
      <c r="H40" s="158"/>
      <c r="I40" s="158"/>
      <c r="J40" s="158"/>
      <c r="K40" s="166"/>
      <c r="T40" s="35"/>
      <c r="Y40" s="59"/>
      <c r="Z40" s="59"/>
      <c r="AA40" s="59"/>
      <c r="AB40" s="59"/>
      <c r="AC40" s="59"/>
      <c r="AM40" s="1">
        <v>9</v>
      </c>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C1:P37"/>
  <sheetViews>
    <sheetView workbookViewId="0" topLeftCell="A1">
      <selection activeCell="A1" sqref="A1"/>
    </sheetView>
  </sheetViews>
  <sheetFormatPr defaultColWidth="9.140625" defaultRowHeight="12.75"/>
  <cols>
    <col min="1" max="1" width="3.00390625" style="0" customWidth="1"/>
    <col min="2" max="2" width="3.28125" style="0" customWidth="1"/>
    <col min="5" max="5" width="3.140625" style="0" customWidth="1"/>
    <col min="8" max="8" width="3.140625" style="0" customWidth="1"/>
    <col min="9" max="9" width="11.00390625" style="0" customWidth="1"/>
    <col min="10" max="10" width="11.7109375" style="0" customWidth="1"/>
  </cols>
  <sheetData>
    <row r="1" ht="12.75">
      <c r="K1" t="s">
        <v>529</v>
      </c>
    </row>
    <row r="3" spans="4:11" ht="12.75">
      <c r="D3" t="s">
        <v>340</v>
      </c>
      <c r="K3" t="s">
        <v>300</v>
      </c>
    </row>
    <row r="4" ht="12.75">
      <c r="K4" s="1248" t="s">
        <v>528</v>
      </c>
    </row>
    <row r="5" spans="3:6" ht="12.75">
      <c r="C5" t="s">
        <v>342</v>
      </c>
      <c r="F5" t="s">
        <v>344</v>
      </c>
    </row>
    <row r="6" spans="3:7" ht="12.75">
      <c r="C6" s="452">
        <v>1</v>
      </c>
      <c r="D6" t="s">
        <v>99</v>
      </c>
      <c r="E6" t="s">
        <v>341</v>
      </c>
      <c r="F6">
        <v>2</v>
      </c>
      <c r="G6" t="s">
        <v>343</v>
      </c>
    </row>
    <row r="8" ht="12.75">
      <c r="C8" t="s">
        <v>95</v>
      </c>
    </row>
    <row r="9" spans="3:7" ht="12.75">
      <c r="C9">
        <v>1</v>
      </c>
      <c r="D9" t="s">
        <v>99</v>
      </c>
      <c r="E9" t="s">
        <v>341</v>
      </c>
      <c r="F9">
        <v>6</v>
      </c>
      <c r="G9" t="s">
        <v>343</v>
      </c>
    </row>
    <row r="15" spans="3:9" ht="12.75">
      <c r="C15" t="s">
        <v>345</v>
      </c>
      <c r="I15" t="s">
        <v>496</v>
      </c>
    </row>
    <row r="16" spans="3:10" ht="12.75">
      <c r="C16">
        <v>1</v>
      </c>
      <c r="D16" t="s">
        <v>343</v>
      </c>
      <c r="E16" t="s">
        <v>341</v>
      </c>
      <c r="F16">
        <v>0.2</v>
      </c>
      <c r="G16" t="s">
        <v>346</v>
      </c>
      <c r="J16" t="s">
        <v>429</v>
      </c>
    </row>
    <row r="19" ht="12.75">
      <c r="C19" t="s">
        <v>347</v>
      </c>
    </row>
    <row r="20" spans="3:9" ht="12.75">
      <c r="C20">
        <v>1</v>
      </c>
      <c r="D20" t="s">
        <v>99</v>
      </c>
      <c r="E20" t="s">
        <v>341</v>
      </c>
      <c r="F20">
        <v>1.5</v>
      </c>
      <c r="G20" t="s">
        <v>346</v>
      </c>
      <c r="I20" t="s">
        <v>484</v>
      </c>
    </row>
    <row r="24" ht="12.75">
      <c r="C24" t="s">
        <v>101</v>
      </c>
    </row>
    <row r="25" spans="3:10" ht="43.5" customHeight="1">
      <c r="C25">
        <v>1</v>
      </c>
      <c r="D25" s="542" t="s">
        <v>350</v>
      </c>
      <c r="E25" t="s">
        <v>341</v>
      </c>
      <c r="F25">
        <v>1</v>
      </c>
      <c r="G25" t="s">
        <v>351</v>
      </c>
      <c r="I25" t="s">
        <v>352</v>
      </c>
      <c r="J25" s="542"/>
    </row>
    <row r="26" ht="12.75">
      <c r="I26" t="s">
        <v>485</v>
      </c>
    </row>
    <row r="27" spans="9:16" ht="41.25" customHeight="1">
      <c r="I27" s="1291" t="s">
        <v>339</v>
      </c>
      <c r="J27" s="1291"/>
      <c r="K27" s="1291"/>
      <c r="L27" s="1291"/>
      <c r="M27" s="1291"/>
      <c r="N27" s="1291"/>
      <c r="O27" s="1291"/>
      <c r="P27" s="1291"/>
    </row>
    <row r="28" ht="12.75">
      <c r="C28" t="s">
        <v>486</v>
      </c>
    </row>
    <row r="29" ht="12.75">
      <c r="C29" t="s">
        <v>487</v>
      </c>
    </row>
    <row r="30" spans="3:7" ht="12.75">
      <c r="C30">
        <v>1</v>
      </c>
      <c r="D30" t="s">
        <v>343</v>
      </c>
      <c r="E30" t="s">
        <v>488</v>
      </c>
      <c r="F30">
        <v>0.3215</v>
      </c>
      <c r="G30" t="s">
        <v>258</v>
      </c>
    </row>
    <row r="32" spans="3:7" ht="12.75">
      <c r="C32">
        <v>1</v>
      </c>
      <c r="D32" t="s">
        <v>343</v>
      </c>
      <c r="E32" t="s">
        <v>488</v>
      </c>
      <c r="F32">
        <v>13.8</v>
      </c>
      <c r="G32" t="s">
        <v>489</v>
      </c>
    </row>
    <row r="36" ht="12.75">
      <c r="C36" t="s">
        <v>493</v>
      </c>
    </row>
    <row r="37" spans="3:7" ht="12.75">
      <c r="C37">
        <v>1</v>
      </c>
      <c r="D37" t="s">
        <v>99</v>
      </c>
      <c r="E37" t="s">
        <v>341</v>
      </c>
      <c r="F37">
        <v>2</v>
      </c>
      <c r="G37" t="s">
        <v>343</v>
      </c>
    </row>
  </sheetData>
  <mergeCells count="1">
    <mergeCell ref="I27:P2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Tabelle26">
    <tabColor indexed="11"/>
  </sheetPr>
  <dimension ref="C1:AS95"/>
  <sheetViews>
    <sheetView zoomScale="75" zoomScaleNormal="75" zoomScaleSheetLayoutView="55" workbookViewId="0" topLeftCell="AG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13.00390625" style="169"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f>VLOOKUP(AC2,'JFSQ p70'!A6:K58,10)</f>
      </c>
      <c r="U2" s="5"/>
      <c r="V2" s="5"/>
      <c r="W2" s="5"/>
      <c r="X2" s="5"/>
      <c r="Y2" s="5"/>
      <c r="Z2" s="5"/>
      <c r="AA2" s="5"/>
      <c r="AB2" s="5"/>
      <c r="AC2" s="1400" t="s">
        <v>281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Slovenia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2010347</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1.101103938772759</v>
      </c>
      <c r="AN11" s="1450"/>
    </row>
    <row r="12" spans="3:40"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c r="AM12" s="35" t="str">
        <f>AM14</f>
        <v>n.a.</v>
      </c>
      <c r="AN12" s="1">
        <f>IF(AF14+AF15+AF16+AF17+AF20=0,"...",AF14+AF15+AF16+AF17+AF20)</f>
        <v>1591162</v>
      </c>
    </row>
    <row r="13" spans="3:45" ht="38.25" customHeight="1" thickBot="1" thickTop="1">
      <c r="C13" s="51" t="s">
        <v>62</v>
      </c>
      <c r="D13" s="5"/>
      <c r="E13" s="1390" t="s">
        <v>63</v>
      </c>
      <c r="F13" s="52" t="s">
        <v>64</v>
      </c>
      <c r="G13" s="53" t="s">
        <v>119</v>
      </c>
      <c r="H13" s="251">
        <v>1825854</v>
      </c>
      <c r="I13" s="251">
        <v>403000</v>
      </c>
      <c r="J13" s="251">
        <v>184000</v>
      </c>
      <c r="K13" s="1014">
        <f>H13+I13-J13</f>
        <v>2044854</v>
      </c>
      <c r="L13" s="185">
        <v>1410000</v>
      </c>
      <c r="M13" s="186">
        <v>239000</v>
      </c>
      <c r="N13" s="186">
        <v>545000</v>
      </c>
      <c r="O13" s="187">
        <v>116000</v>
      </c>
      <c r="P13" s="1015">
        <v>3000</v>
      </c>
      <c r="Q13" s="187">
        <v>0</v>
      </c>
      <c r="R13" s="186">
        <v>0</v>
      </c>
      <c r="S13" s="229">
        <v>0</v>
      </c>
      <c r="T13" s="229">
        <v>0</v>
      </c>
      <c r="U13" s="229">
        <v>0</v>
      </c>
      <c r="V13" s="519">
        <v>0</v>
      </c>
      <c r="W13" s="212">
        <v>0</v>
      </c>
      <c r="X13" s="254">
        <v>0</v>
      </c>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80" t="s">
        <v>119</v>
      </c>
      <c r="H14" s="251">
        <v>725086</v>
      </c>
      <c r="I14" s="251">
        <v>9000</v>
      </c>
      <c r="J14" s="251">
        <v>63000</v>
      </c>
      <c r="K14" s="1014">
        <f aca="true" t="shared" si="0" ref="K14:K25">H14+I14-J14</f>
        <v>671086</v>
      </c>
      <c r="L14" s="220"/>
      <c r="M14" s="221"/>
      <c r="N14" s="221"/>
      <c r="O14" s="222"/>
      <c r="P14" s="256">
        <v>0</v>
      </c>
      <c r="Q14" s="192">
        <v>2100</v>
      </c>
      <c r="R14" s="192">
        <v>0</v>
      </c>
      <c r="S14" s="229">
        <v>0</v>
      </c>
      <c r="T14" s="229">
        <v>0</v>
      </c>
      <c r="U14" s="229">
        <v>0</v>
      </c>
      <c r="V14" s="520">
        <v>0</v>
      </c>
      <c r="W14" s="193">
        <v>0</v>
      </c>
      <c r="X14" s="193">
        <v>0</v>
      </c>
      <c r="Y14" s="224">
        <v>0</v>
      </c>
      <c r="Z14" s="225">
        <v>0</v>
      </c>
      <c r="AA14" s="196">
        <v>0</v>
      </c>
      <c r="AB14" s="522">
        <v>0</v>
      </c>
      <c r="AC14" s="192">
        <v>939000</v>
      </c>
      <c r="AD14" s="192"/>
      <c r="AE14" s="194"/>
      <c r="AF14" s="522">
        <f>SUM(AC14:AE14)</f>
        <v>939000</v>
      </c>
      <c r="AG14" s="31"/>
      <c r="AH14" s="60" t="s">
        <v>71</v>
      </c>
      <c r="AK14" s="63" t="s">
        <v>73</v>
      </c>
      <c r="AL14" s="64" t="str">
        <f>IF(V13+V14+V15+V16+V17+(V20)=0,"n.a.",V13+V14+V15+V16+V17+V20)</f>
        <v>n.a.</v>
      </c>
      <c r="AM14" s="64" t="str">
        <f>IF(AB14+AB15+AB16+AB17+(AB20)=0,"n.a.",AB14+AB15+AB16+AB17+(AB20))</f>
        <v>n.a.</v>
      </c>
      <c r="AN14" s="65">
        <f>IF(AF14+AF15+AF16+AF17+(AF20*Assumptions!F20)=0,"n.a.",AF14+AF15+AF16+AF17+(AF20))</f>
        <v>1591162</v>
      </c>
      <c r="AO14" s="66">
        <f>SUM(AL14:AN14)</f>
        <v>1591162</v>
      </c>
      <c r="AP14" s="67">
        <f>AO14/$AO$19</f>
        <v>0.7188115654085808</v>
      </c>
      <c r="AQ14" s="57"/>
    </row>
    <row r="15" spans="3:43" ht="38.25" customHeight="1" thickBot="1">
      <c r="C15" s="51" t="s">
        <v>74</v>
      </c>
      <c r="D15" s="5"/>
      <c r="E15" s="1391"/>
      <c r="F15" s="61" t="s">
        <v>75</v>
      </c>
      <c r="G15" s="80" t="s">
        <v>119</v>
      </c>
      <c r="H15" s="257">
        <v>159370</v>
      </c>
      <c r="I15" s="257">
        <v>0</v>
      </c>
      <c r="J15" s="257">
        <v>0</v>
      </c>
      <c r="K15" s="1014">
        <f t="shared" si="0"/>
        <v>159370</v>
      </c>
      <c r="L15" s="220"/>
      <c r="M15" s="197">
        <v>0</v>
      </c>
      <c r="N15" s="197">
        <v>0</v>
      </c>
      <c r="O15" s="197">
        <v>0</v>
      </c>
      <c r="P15" s="192">
        <v>0</v>
      </c>
      <c r="Q15" s="192">
        <v>0</v>
      </c>
      <c r="R15" s="192">
        <v>0</v>
      </c>
      <c r="S15" s="229">
        <v>0</v>
      </c>
      <c r="T15" s="229">
        <v>0</v>
      </c>
      <c r="U15" s="229">
        <v>0</v>
      </c>
      <c r="V15" s="520">
        <v>0</v>
      </c>
      <c r="W15" s="193">
        <v>0</v>
      </c>
      <c r="X15" s="193">
        <v>0</v>
      </c>
      <c r="Y15" s="224">
        <v>0</v>
      </c>
      <c r="Z15" s="225">
        <v>0</v>
      </c>
      <c r="AA15" s="196">
        <v>0</v>
      </c>
      <c r="AB15" s="522">
        <v>0</v>
      </c>
      <c r="AC15" s="192">
        <v>100000</v>
      </c>
      <c r="AD15" s="192"/>
      <c r="AE15" s="194"/>
      <c r="AF15" s="522">
        <f>SUM(AC15:AE15)</f>
        <v>100000</v>
      </c>
      <c r="AG15" s="31"/>
      <c r="AH15" s="51" t="s">
        <v>74</v>
      </c>
      <c r="AK15" s="63" t="s">
        <v>76</v>
      </c>
      <c r="AL15" s="68">
        <f>IF((V18*Assumptions!F20)+(V19*Assumptions!F20)+(V23*Assumptions!F9)+(V24*Assumptions!F6)+(V22*Assumptions!F16)+V25=0,"n.a.",(V18*Assumptions!F20)+(V19*Assumptions!F20)+(V23*Assumptions!F9)+(V24*Assumptions!F6)+(V22*Assumptions!F16)+V25)</f>
        <v>27792</v>
      </c>
      <c r="AM15" s="68">
        <f>IF((AB18*Assumptions!F20)+(AB19*Assumptions!F20)+(AB23*Assumptions!F9)+(AB24*Assumptions!F6)+(AB25)+(AB22*Assumptions!F16)=0,"n.a.",(AB18*Assumptions!F20)+(AB19*Assumptions!F20)+(AB23*Assumptions!F9)+(AB24*Assumptions!F6)+(AB25)+(AB22*Assumptions!F16))</f>
        <v>531063</v>
      </c>
      <c r="AN15" s="68">
        <f>IF((AF18*Assumptions!F20)+(AF19*Assumptions!F20)+(AF23*Assumptions!F9)+(AF24*Assumptions!F6)+(AF22*Assumptions!F16)=0,"n.a.",(AF18*Assumptions!F20)+(AF19*Assumptions!F20)+(AF23*Assumptions!F9)+(AF24*Assumptions!F6)+(AF22*Assumptions!F16))</f>
        <v>37526</v>
      </c>
      <c r="AO15" s="66">
        <f>SUM(AL15:AN15)</f>
        <v>596381</v>
      </c>
      <c r="AP15" s="67">
        <f>AO15/$AO$19</f>
        <v>0.269416665424347</v>
      </c>
      <c r="AQ15" s="57"/>
    </row>
    <row r="16" spans="3:43" ht="38.25" customHeight="1" thickBot="1">
      <c r="C16" s="60" t="s">
        <v>77</v>
      </c>
      <c r="D16" s="5"/>
      <c r="E16" s="1391"/>
      <c r="F16" s="61" t="s">
        <v>78</v>
      </c>
      <c r="G16" s="80" t="s">
        <v>119</v>
      </c>
      <c r="H16" s="251"/>
      <c r="I16" s="251"/>
      <c r="J16" s="251"/>
      <c r="K16" s="1014">
        <f t="shared" si="0"/>
        <v>0</v>
      </c>
      <c r="L16" s="220"/>
      <c r="M16" s="197"/>
      <c r="N16" s="197"/>
      <c r="O16" s="197"/>
      <c r="P16" s="192"/>
      <c r="Q16" s="192"/>
      <c r="R16" s="192"/>
      <c r="S16" s="229"/>
      <c r="T16" s="229">
        <v>0</v>
      </c>
      <c r="U16" s="229"/>
      <c r="V16" s="520">
        <v>0</v>
      </c>
      <c r="W16" s="193"/>
      <c r="X16" s="193"/>
      <c r="Y16" s="224">
        <v>0</v>
      </c>
      <c r="Z16" s="225">
        <v>0</v>
      </c>
      <c r="AA16" s="196">
        <v>0</v>
      </c>
      <c r="AB16" s="522">
        <v>0</v>
      </c>
      <c r="AC16" s="192"/>
      <c r="AD16" s="192"/>
      <c r="AE16" s="194"/>
      <c r="AF16" s="522">
        <f>SUM(AC16:AE16)</f>
        <v>0</v>
      </c>
      <c r="AG16" s="31"/>
      <c r="AH16" s="60" t="s">
        <v>77</v>
      </c>
      <c r="AK16" s="430" t="s">
        <v>79</v>
      </c>
      <c r="AL16" s="448" t="str">
        <f>IF(V21*Assumptions!F20=0,"n.a.",V21*Assumptions!F20)</f>
        <v>n.a.</v>
      </c>
      <c r="AM16" s="448" t="str">
        <f>IF(AB21*Assumptions!F20=0,"n.a.",AB21*Assumptions!F20)</f>
        <v>n.a.</v>
      </c>
      <c r="AN16" s="448">
        <f>IF(AF21*Assumptions!F20=0,"n.a.",AF21*Assumptions!F20)</f>
        <v>26058</v>
      </c>
      <c r="AO16" s="72">
        <f>SUM(AL16:AN16)</f>
        <v>26058</v>
      </c>
      <c r="AP16" s="67">
        <f>AO16/$AO$19</f>
        <v>0.011771769167072114</v>
      </c>
      <c r="AQ16" s="73"/>
    </row>
    <row r="17" spans="3:43" ht="38.25" customHeight="1" thickBot="1" thickTop="1">
      <c r="C17" s="51" t="s">
        <v>80</v>
      </c>
      <c r="D17" s="5"/>
      <c r="E17" s="1391"/>
      <c r="F17" s="61" t="s">
        <v>81</v>
      </c>
      <c r="G17" s="80" t="s">
        <v>119</v>
      </c>
      <c r="H17" s="258">
        <v>0</v>
      </c>
      <c r="I17" s="258">
        <v>0</v>
      </c>
      <c r="J17" s="258">
        <v>0</v>
      </c>
      <c r="K17" s="1014">
        <f t="shared" si="0"/>
        <v>0</v>
      </c>
      <c r="L17" s="220"/>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c r="AD17" s="192"/>
      <c r="AE17" s="194"/>
      <c r="AF17" s="522">
        <f>SUM(AC17:AE17)</f>
        <v>0</v>
      </c>
      <c r="AG17" s="31"/>
      <c r="AH17" s="51" t="s">
        <v>80</v>
      </c>
      <c r="AK17" s="431" t="s">
        <v>354</v>
      </c>
      <c r="AL17" s="74">
        <f>SUM(AL14:AL16)</f>
        <v>27792</v>
      </c>
      <c r="AM17" s="75">
        <f>SUM(AM14:AM16)</f>
        <v>531063</v>
      </c>
      <c r="AN17" s="75">
        <f>SUM(AN14:AN16)</f>
        <v>1654746</v>
      </c>
      <c r="AO17" s="1443"/>
      <c r="AP17" s="1444"/>
      <c r="AQ17" s="76">
        <f>SUM(AL17:AN17)</f>
        <v>2213601</v>
      </c>
    </row>
    <row r="18" spans="3:43" ht="38.25" customHeight="1" thickBot="1" thickTop="1">
      <c r="C18" s="60" t="s">
        <v>82</v>
      </c>
      <c r="D18" s="5"/>
      <c r="E18" s="1391"/>
      <c r="F18" s="61" t="s">
        <v>83</v>
      </c>
      <c r="G18" s="1245" t="s">
        <v>87</v>
      </c>
      <c r="H18" s="251">
        <v>311362</v>
      </c>
      <c r="I18" s="251">
        <v>138000</v>
      </c>
      <c r="J18" s="251">
        <f>(39000*2)/2</f>
        <v>39000</v>
      </c>
      <c r="K18" s="1014">
        <f>(H18+I18-J18)/2</f>
        <v>205181</v>
      </c>
      <c r="L18" s="220">
        <v>0</v>
      </c>
      <c r="M18" s="197">
        <v>224416</v>
      </c>
      <c r="N18" s="197">
        <v>59892</v>
      </c>
      <c r="O18" s="199">
        <v>0</v>
      </c>
      <c r="P18" s="1016">
        <v>33500</v>
      </c>
      <c r="Q18" s="192">
        <v>0</v>
      </c>
      <c r="R18" s="192">
        <v>0</v>
      </c>
      <c r="S18" s="193">
        <v>30305</v>
      </c>
      <c r="T18" s="229">
        <v>0</v>
      </c>
      <c r="U18" s="229">
        <v>6751</v>
      </c>
      <c r="V18" s="526">
        <f>(SUM(S18:U18))/2</f>
        <v>18528</v>
      </c>
      <c r="W18" s="193">
        <v>368.5</v>
      </c>
      <c r="X18" s="193">
        <v>2.7</v>
      </c>
      <c r="Y18" s="224">
        <v>9033.410800000001</v>
      </c>
      <c r="Z18" s="225">
        <v>233042</v>
      </c>
      <c r="AA18" s="196">
        <v>0</v>
      </c>
      <c r="AB18" s="528">
        <v>233042</v>
      </c>
      <c r="AC18" s="192">
        <v>14000</v>
      </c>
      <c r="AD18" s="192">
        <v>6080</v>
      </c>
      <c r="AE18" s="194">
        <v>0</v>
      </c>
      <c r="AF18" s="528">
        <f>(SUM(AC18:AE18))/2</f>
        <v>10040</v>
      </c>
      <c r="AG18" s="31"/>
      <c r="AH18" s="60" t="s">
        <v>82</v>
      </c>
      <c r="AK18" s="431" t="s">
        <v>70</v>
      </c>
      <c r="AL18" s="78">
        <f>AL17/$AQ$17</f>
        <v>0.012555108169900537</v>
      </c>
      <c r="AM18" s="78">
        <f>AM17/$AQ$17</f>
        <v>0.2399090893074226</v>
      </c>
      <c r="AN18" s="78">
        <f>AN17/$AQ$17</f>
        <v>0.7475358025226768</v>
      </c>
      <c r="AO18" s="1445"/>
      <c r="AP18" s="1446"/>
      <c r="AQ18" s="57"/>
    </row>
    <row r="19" spans="3:43" ht="38.25" customHeight="1" thickBot="1">
      <c r="C19" s="51" t="s">
        <v>84</v>
      </c>
      <c r="D19" s="5"/>
      <c r="E19" s="1391"/>
      <c r="F19" s="61" t="s">
        <v>409</v>
      </c>
      <c r="G19" s="1245" t="s">
        <v>87</v>
      </c>
      <c r="H19" s="251">
        <v>282656</v>
      </c>
      <c r="I19" s="251">
        <v>0</v>
      </c>
      <c r="J19" s="251">
        <v>0</v>
      </c>
      <c r="K19" s="1014">
        <f>(H19+I19-J19)/2</f>
        <v>141328</v>
      </c>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f>(SUM(AC19:AE19))/2</f>
        <v>0</v>
      </c>
      <c r="AG19" s="31"/>
      <c r="AH19" s="51" t="s">
        <v>84</v>
      </c>
      <c r="AK19" s="1447"/>
      <c r="AL19" s="1447"/>
      <c r="AM19" s="1447"/>
      <c r="AN19" s="1448"/>
      <c r="AO19" s="79">
        <f>SUM(AO14:AO16)</f>
        <v>2213601</v>
      </c>
      <c r="AP19" s="1449"/>
      <c r="AQ19" s="1447"/>
    </row>
    <row r="20" spans="3:43" ht="28.5" customHeight="1" thickBot="1">
      <c r="C20" s="60" t="s">
        <v>85</v>
      </c>
      <c r="D20" s="5"/>
      <c r="E20" s="1391"/>
      <c r="F20" s="61" t="s">
        <v>86</v>
      </c>
      <c r="G20" s="1244" t="s">
        <v>119</v>
      </c>
      <c r="H20" s="251">
        <v>276081</v>
      </c>
      <c r="I20" s="251">
        <v>0</v>
      </c>
      <c r="J20" s="251">
        <v>0</v>
      </c>
      <c r="K20" s="1014">
        <f>(H20+I20-J20)*2</f>
        <v>552162</v>
      </c>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276081</v>
      </c>
      <c r="AD20" s="227">
        <v>0</v>
      </c>
      <c r="AE20" s="201">
        <v>0</v>
      </c>
      <c r="AF20" s="522">
        <f>(SUM(AC20:AE20))*2</f>
        <v>552162</v>
      </c>
      <c r="AG20" s="31"/>
      <c r="AH20" s="60" t="s">
        <v>85</v>
      </c>
      <c r="AK20" s="57"/>
      <c r="AL20" s="545"/>
      <c r="AM20" s="57"/>
      <c r="AN20" s="57"/>
      <c r="AO20" s="82"/>
      <c r="AP20" s="81"/>
      <c r="AQ20" s="57"/>
    </row>
    <row r="21" spans="3:43" ht="28.5" customHeight="1" thickBot="1">
      <c r="C21" s="51" t="s">
        <v>88</v>
      </c>
      <c r="D21" s="5"/>
      <c r="E21" s="1391"/>
      <c r="F21" s="83" t="s">
        <v>89</v>
      </c>
      <c r="G21" s="84" t="s">
        <v>87</v>
      </c>
      <c r="H21" s="1041">
        <v>17372</v>
      </c>
      <c r="I21" s="251"/>
      <c r="J21" s="251">
        <v>0</v>
      </c>
      <c r="K21" s="1014">
        <f t="shared" si="0"/>
        <v>17372</v>
      </c>
      <c r="L21" s="220"/>
      <c r="M21" s="229">
        <v>0</v>
      </c>
      <c r="N21" s="229">
        <v>0</v>
      </c>
      <c r="O21" s="230">
        <v>0</v>
      </c>
      <c r="P21" s="192">
        <v>0</v>
      </c>
      <c r="Q21" s="192">
        <v>0</v>
      </c>
      <c r="R21" s="192">
        <v>0</v>
      </c>
      <c r="S21" s="229"/>
      <c r="T21" s="229">
        <v>0</v>
      </c>
      <c r="U21" s="229"/>
      <c r="V21" s="516">
        <v>0</v>
      </c>
      <c r="W21" s="193">
        <v>0</v>
      </c>
      <c r="X21" s="193">
        <v>0</v>
      </c>
      <c r="Y21" s="224">
        <v>0</v>
      </c>
      <c r="Z21" s="225">
        <v>0</v>
      </c>
      <c r="AA21" s="196">
        <v>0</v>
      </c>
      <c r="AB21" s="532">
        <v>0</v>
      </c>
      <c r="AC21" s="192"/>
      <c r="AD21" s="192"/>
      <c r="AE21" s="194"/>
      <c r="AF21" s="532">
        <f>K21</f>
        <v>17372</v>
      </c>
      <c r="AG21" s="31"/>
      <c r="AH21" s="51" t="s">
        <v>88</v>
      </c>
      <c r="AK21" s="57"/>
      <c r="AL21" s="57"/>
      <c r="AM21" s="57"/>
      <c r="AN21" s="538" t="s">
        <v>47</v>
      </c>
      <c r="AO21" s="539" t="s">
        <v>70</v>
      </c>
      <c r="AP21" s="81"/>
      <c r="AQ21" s="57"/>
    </row>
    <row r="22" spans="3:43" ht="28.5" customHeight="1" thickBot="1">
      <c r="C22" s="60" t="s">
        <v>90</v>
      </c>
      <c r="D22" s="5"/>
      <c r="E22" s="1391"/>
      <c r="F22" s="61" t="s">
        <v>91</v>
      </c>
      <c r="G22" s="1042" t="s">
        <v>99</v>
      </c>
      <c r="H22" s="188">
        <v>107253</v>
      </c>
      <c r="I22" s="189"/>
      <c r="J22" s="190"/>
      <c r="K22" s="426">
        <f t="shared" si="0"/>
        <v>107253</v>
      </c>
      <c r="L22" s="220">
        <v>0</v>
      </c>
      <c r="M22" s="197">
        <v>0</v>
      </c>
      <c r="N22" s="221">
        <v>0</v>
      </c>
      <c r="O22" s="199">
        <v>0</v>
      </c>
      <c r="P22" s="192">
        <v>0</v>
      </c>
      <c r="Q22" s="221">
        <v>0</v>
      </c>
      <c r="R22" s="192">
        <v>0</v>
      </c>
      <c r="S22" s="229">
        <v>0</v>
      </c>
      <c r="T22" s="229">
        <v>0</v>
      </c>
      <c r="U22" s="229">
        <v>0</v>
      </c>
      <c r="V22" s="526">
        <v>0</v>
      </c>
      <c r="W22" s="193">
        <v>0</v>
      </c>
      <c r="X22" s="193">
        <v>0</v>
      </c>
      <c r="Y22" s="224">
        <v>0</v>
      </c>
      <c r="Z22" s="225">
        <v>0</v>
      </c>
      <c r="AA22" s="196">
        <v>0</v>
      </c>
      <c r="AB22" s="528">
        <v>0</v>
      </c>
      <c r="AC22" s="192">
        <v>0</v>
      </c>
      <c r="AD22" s="192">
        <v>0</v>
      </c>
      <c r="AE22" s="194">
        <v>0</v>
      </c>
      <c r="AF22" s="528">
        <f>SUM(AC22:AE22)</f>
        <v>0</v>
      </c>
      <c r="AG22" s="31"/>
      <c r="AH22" s="60" t="s">
        <v>90</v>
      </c>
      <c r="AJ22" s="439"/>
      <c r="AK22" s="439"/>
      <c r="AL22" s="96" t="s">
        <v>349</v>
      </c>
      <c r="AM22" s="97"/>
      <c r="AN22" s="98">
        <f>(K13+K14)+K20+(AF14-K14)</f>
        <v>3536016</v>
      </c>
      <c r="AO22" s="99">
        <v>1</v>
      </c>
      <c r="AP22" s="81"/>
      <c r="AQ22" s="57"/>
    </row>
    <row r="23" spans="3:41" ht="28.5" customHeight="1" thickBot="1">
      <c r="C23" s="51" t="s">
        <v>94</v>
      </c>
      <c r="D23" s="5"/>
      <c r="E23" s="1391"/>
      <c r="F23" s="61" t="s">
        <v>95</v>
      </c>
      <c r="G23" s="80" t="s">
        <v>99</v>
      </c>
      <c r="H23" s="251">
        <v>350</v>
      </c>
      <c r="I23" s="251">
        <v>1115</v>
      </c>
      <c r="J23" s="251">
        <v>54</v>
      </c>
      <c r="K23" s="1014">
        <f t="shared" si="0"/>
        <v>1411</v>
      </c>
      <c r="L23" s="220"/>
      <c r="M23" s="221"/>
      <c r="N23" s="221"/>
      <c r="O23" s="221"/>
      <c r="P23" s="221"/>
      <c r="Q23" s="221"/>
      <c r="R23" s="222"/>
      <c r="S23" s="229">
        <v>0</v>
      </c>
      <c r="T23" s="229">
        <v>0</v>
      </c>
      <c r="U23" s="229">
        <v>0</v>
      </c>
      <c r="V23" s="526">
        <v>0</v>
      </c>
      <c r="W23" s="193">
        <v>0</v>
      </c>
      <c r="X23" s="193">
        <v>0</v>
      </c>
      <c r="Y23" s="224">
        <v>0</v>
      </c>
      <c r="Z23" s="225">
        <v>0</v>
      </c>
      <c r="AA23" s="196">
        <v>0</v>
      </c>
      <c r="AB23" s="528">
        <v>0</v>
      </c>
      <c r="AC23" s="192">
        <v>1411</v>
      </c>
      <c r="AD23" s="192">
        <v>0</v>
      </c>
      <c r="AE23" s="194">
        <v>0</v>
      </c>
      <c r="AF23" s="528">
        <f>SUM(AC23:AE23)</f>
        <v>1411</v>
      </c>
      <c r="AG23" s="31"/>
      <c r="AH23" s="51" t="s">
        <v>94</v>
      </c>
      <c r="AJ23" s="439"/>
      <c r="AK23" s="439"/>
      <c r="AL23" s="96" t="s">
        <v>93</v>
      </c>
      <c r="AM23" s="97"/>
      <c r="AN23" s="100">
        <f>AQ17</f>
        <v>2213601</v>
      </c>
      <c r="AO23" s="101">
        <f>AN23/AN22</f>
        <v>0.626015549703395</v>
      </c>
    </row>
    <row r="24" spans="3:41" ht="28.5" customHeight="1" thickBot="1">
      <c r="C24" s="60" t="s">
        <v>97</v>
      </c>
      <c r="D24" s="5"/>
      <c r="E24" s="1391"/>
      <c r="F24" s="61" t="s">
        <v>98</v>
      </c>
      <c r="G24" s="102" t="s">
        <v>99</v>
      </c>
      <c r="H24" s="251">
        <v>35000</v>
      </c>
      <c r="I24" s="251">
        <v>0</v>
      </c>
      <c r="J24" s="251">
        <v>28000</v>
      </c>
      <c r="K24" s="1014">
        <f t="shared" si="0"/>
        <v>7000</v>
      </c>
      <c r="L24" s="220"/>
      <c r="M24" s="221"/>
      <c r="N24" s="221"/>
      <c r="O24" s="221"/>
      <c r="P24" s="221"/>
      <c r="Q24" s="221"/>
      <c r="R24" s="222"/>
      <c r="S24" s="229">
        <v>0</v>
      </c>
      <c r="T24" s="229">
        <v>0</v>
      </c>
      <c r="U24" s="229">
        <v>0</v>
      </c>
      <c r="V24" s="526">
        <v>0</v>
      </c>
      <c r="W24" s="193">
        <v>0</v>
      </c>
      <c r="X24" s="193">
        <v>0</v>
      </c>
      <c r="Y24" s="224">
        <v>0</v>
      </c>
      <c r="Z24" s="225">
        <v>0</v>
      </c>
      <c r="AA24" s="196">
        <v>0</v>
      </c>
      <c r="AB24" s="528">
        <v>0</v>
      </c>
      <c r="AC24" s="192">
        <v>7000</v>
      </c>
      <c r="AD24" s="192">
        <v>0</v>
      </c>
      <c r="AE24" s="194">
        <v>0</v>
      </c>
      <c r="AF24" s="528">
        <f>SUM(AC24:AE24)</f>
        <v>7000</v>
      </c>
      <c r="AG24" s="31"/>
      <c r="AH24" s="60" t="s">
        <v>97</v>
      </c>
      <c r="AI24" s="1" t="s">
        <v>106</v>
      </c>
      <c r="AL24" s="96" t="s">
        <v>551</v>
      </c>
      <c r="AM24" s="97"/>
      <c r="AN24" s="98"/>
      <c r="AO24" s="99">
        <f>AO14/AN23</f>
        <v>0.7188115654085808</v>
      </c>
    </row>
    <row r="25" spans="3:41" ht="28.5" customHeight="1" thickBot="1">
      <c r="C25" s="104" t="s">
        <v>100</v>
      </c>
      <c r="D25" s="5"/>
      <c r="E25" s="1392"/>
      <c r="F25" s="105" t="s">
        <v>101</v>
      </c>
      <c r="G25" s="106"/>
      <c r="H25" s="259"/>
      <c r="I25" s="259"/>
      <c r="J25" s="260"/>
      <c r="K25" s="1014">
        <f t="shared" si="0"/>
        <v>0</v>
      </c>
      <c r="L25" s="232"/>
      <c r="M25" s="234"/>
      <c r="N25" s="234"/>
      <c r="O25" s="234"/>
      <c r="P25" s="234"/>
      <c r="Q25" s="234"/>
      <c r="R25" s="233"/>
      <c r="S25" s="232"/>
      <c r="T25" s="234"/>
      <c r="U25" s="233"/>
      <c r="V25" s="526"/>
      <c r="W25" s="235">
        <v>0</v>
      </c>
      <c r="X25" s="236">
        <v>0</v>
      </c>
      <c r="Y25" s="224">
        <v>0</v>
      </c>
      <c r="Z25" s="237">
        <v>142000</v>
      </c>
      <c r="AA25" s="238">
        <v>0</v>
      </c>
      <c r="AB25" s="528">
        <f>VLOOKUP(AC2,'JFSQ p70'!6:58,11,FALSE)*1000*Assumptions!F20</f>
        <v>181500</v>
      </c>
      <c r="AC25" s="232"/>
      <c r="AD25" s="234"/>
      <c r="AE25" s="239"/>
      <c r="AF25" s="224"/>
      <c r="AG25" s="31"/>
      <c r="AH25" s="104" t="s">
        <v>100</v>
      </c>
      <c r="AL25" s="96" t="s">
        <v>552</v>
      </c>
      <c r="AM25" s="103"/>
      <c r="AN25" s="100">
        <f>IF(AB25+V25=0,"n.a.",AB25+V25)</f>
        <v>181500</v>
      </c>
      <c r="AO25" s="421">
        <f>IF(AN25/AN23=0,"n.a.",AN25/AN23)</f>
        <v>0.08199309631681591</v>
      </c>
    </row>
    <row r="26" spans="3:43" s="108" customFormat="1" ht="28.5" customHeight="1" thickBot="1">
      <c r="C26" s="104" t="s">
        <v>103</v>
      </c>
      <c r="D26" s="109"/>
      <c r="E26" s="110"/>
      <c r="F26" s="111"/>
      <c r="G26" s="112"/>
      <c r="H26" s="207">
        <v>0.2</v>
      </c>
      <c r="I26" s="207"/>
      <c r="J26" s="207"/>
      <c r="K26" s="207"/>
      <c r="L26" s="241"/>
      <c r="M26" s="241"/>
      <c r="N26" s="241"/>
      <c r="O26" s="241"/>
      <c r="P26" s="262"/>
      <c r="Q26" s="116"/>
      <c r="R26" s="243" t="s">
        <v>104</v>
      </c>
      <c r="S26" s="208">
        <v>30305</v>
      </c>
      <c r="T26" s="244">
        <v>0</v>
      </c>
      <c r="U26" s="263">
        <v>6751</v>
      </c>
      <c r="V26" s="264">
        <v>37056</v>
      </c>
      <c r="W26" s="208">
        <v>368.5</v>
      </c>
      <c r="X26" s="244">
        <v>2.7</v>
      </c>
      <c r="Y26" s="122">
        <v>9033.410800000001</v>
      </c>
      <c r="Z26" s="245">
        <v>375042</v>
      </c>
      <c r="AA26" s="246">
        <v>0</v>
      </c>
      <c r="AB26" s="247">
        <v>375042</v>
      </c>
      <c r="AC26" s="245">
        <v>1327492</v>
      </c>
      <c r="AD26" s="248">
        <v>6080</v>
      </c>
      <c r="AE26" s="246">
        <v>0</v>
      </c>
      <c r="AF26" s="247"/>
      <c r="AG26" s="127"/>
      <c r="AH26" s="104" t="s">
        <v>103</v>
      </c>
      <c r="AJ26" s="1"/>
      <c r="AK26" s="1"/>
      <c r="AL26" s="96" t="s">
        <v>102</v>
      </c>
      <c r="AM26" s="97"/>
      <c r="AN26" s="107">
        <f>AO14/AL9</f>
        <v>0.7914862459068012</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121000</v>
      </c>
      <c r="AC27" s="134"/>
      <c r="AD27" s="5"/>
      <c r="AE27" s="5"/>
      <c r="AF27" s="135"/>
      <c r="AG27" s="31"/>
      <c r="AH27" s="136"/>
      <c r="AL27" s="96" t="s">
        <v>105</v>
      </c>
      <c r="AM27" s="103"/>
      <c r="AN27" s="107">
        <f>((AN23/Assumptions!F20)*Assumptions!F30/1000000)</f>
        <v>0.47444848100000003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282</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#REF!+(V18/Y18*Y25)</f>
        <v>#REF!</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f>121000*0.2*2</f>
        <v>48400</v>
      </c>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AA30:AH30"/>
    <mergeCell ref="L11:L12"/>
    <mergeCell ref="AC2:AG2"/>
    <mergeCell ref="AD1:AH1"/>
    <mergeCell ref="P3:AJ3"/>
    <mergeCell ref="AC4:AG4"/>
    <mergeCell ref="O11:O12"/>
    <mergeCell ref="Z11:AB11"/>
    <mergeCell ref="L8:AF8"/>
    <mergeCell ref="AF11:AF12"/>
    <mergeCell ref="E13:E25"/>
    <mergeCell ref="J9:J12"/>
    <mergeCell ref="K9:K12"/>
    <mergeCell ref="I9:I12"/>
    <mergeCell ref="AJ9:AK9"/>
    <mergeCell ref="N11:N12"/>
    <mergeCell ref="L9:R10"/>
    <mergeCell ref="P11:R11"/>
    <mergeCell ref="S9:AD9"/>
    <mergeCell ref="S10:Y10"/>
    <mergeCell ref="AE11:AE12"/>
    <mergeCell ref="AC11:AC12"/>
    <mergeCell ref="S11:V11"/>
    <mergeCell ref="W11:Y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1.xml><?xml version="1.0" encoding="utf-8"?>
<worksheet xmlns="http://schemas.openxmlformats.org/spreadsheetml/2006/main" xmlns:r="http://schemas.openxmlformats.org/officeDocument/2006/relationships">
  <sheetPr codeName="Tabelle14">
    <tabColor indexed="11"/>
  </sheetPr>
  <dimension ref="C1:AS95"/>
  <sheetViews>
    <sheetView zoomScale="75" zoomScaleNormal="75" zoomScaleSheetLayoutView="70" workbookViewId="0" topLeftCell="AF1">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6.7109375" style="159" customWidth="1"/>
    <col min="11" max="11" width="9.140625" style="169" customWidth="1"/>
    <col min="12"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0.8515625" style="1" customWidth="1"/>
    <col min="21" max="21" width="8.421875" style="1" customWidth="1"/>
    <col min="22" max="22" width="15.57421875" style="1" customWidth="1"/>
    <col min="23" max="23" width="7.28125" style="1" customWidth="1"/>
    <col min="24" max="24" width="12.57421875" style="1" customWidth="1"/>
    <col min="25" max="25" width="11.57421875" style="1" customWidth="1"/>
    <col min="26" max="27" width="8.140625" style="1" customWidth="1"/>
    <col min="28" max="28" width="12.00390625" style="1" customWidth="1"/>
    <col min="29" max="29" width="9.7109375" style="1" customWidth="1"/>
    <col min="30" max="30" width="10.28125" style="1" bestFit="1" customWidth="1"/>
    <col min="31" max="31" width="8.140625" style="1" customWidth="1"/>
    <col min="32" max="32" width="10.003906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Sweden</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6">
        <v>9016596</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4.367180114960461</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98200</v>
      </c>
      <c r="I13" s="183">
        <v>8686</v>
      </c>
      <c r="J13" s="184">
        <v>3095</v>
      </c>
      <c r="K13" s="423">
        <f>H13+I13-J13</f>
        <v>103791</v>
      </c>
      <c r="L13" s="185">
        <v>18000</v>
      </c>
      <c r="M13" s="186">
        <v>731</v>
      </c>
      <c r="N13" s="186">
        <v>12108</v>
      </c>
      <c r="O13" s="187"/>
      <c r="P13" s="187"/>
      <c r="Q13" s="187"/>
      <c r="R13" s="211"/>
      <c r="S13" s="212"/>
      <c r="T13" s="424"/>
      <c r="U13" s="425"/>
      <c r="V13" s="519">
        <f aca="true" t="shared" si="0" ref="V13:V20">S13+T13+U13</f>
        <v>0</v>
      </c>
      <c r="W13" s="212"/>
      <c r="X13" s="254"/>
      <c r="Y13" s="216">
        <f>W13*23.884+X13*85.984</f>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7000</v>
      </c>
      <c r="I14" s="189" t="s">
        <v>72</v>
      </c>
      <c r="J14" s="190" t="s">
        <v>72</v>
      </c>
      <c r="K14" s="426"/>
      <c r="L14" s="220"/>
      <c r="M14" s="221"/>
      <c r="N14" s="221"/>
      <c r="O14" s="222"/>
      <c r="P14" s="192"/>
      <c r="Q14" s="199"/>
      <c r="R14" s="223"/>
      <c r="S14" s="193"/>
      <c r="T14" s="192"/>
      <c r="U14" s="194"/>
      <c r="V14" s="520">
        <f t="shared" si="0"/>
        <v>0</v>
      </c>
      <c r="W14" s="193"/>
      <c r="X14" s="193"/>
      <c r="Y14" s="224">
        <f>W14*23.884+X14*85.984</f>
        <v>0</v>
      </c>
      <c r="Z14" s="225"/>
      <c r="AA14" s="196"/>
      <c r="AB14" s="522"/>
      <c r="AC14" s="62">
        <f>12.8*0.08598/0.3215*1000000</f>
        <v>3423153.9657853805</v>
      </c>
      <c r="AD14" s="192">
        <v>3500000</v>
      </c>
      <c r="AE14" s="194"/>
      <c r="AF14" s="522">
        <f>SUM(AC14:AE14)</f>
        <v>6923153.96578538</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6923153.96578538</v>
      </c>
      <c r="AO14" s="66">
        <f>SUM(AL14:AN14)</f>
        <v>6923153.96578538</v>
      </c>
      <c r="AP14" s="67">
        <f>AO14/$AO$19</f>
        <v>0.17581676112590727</v>
      </c>
      <c r="AQ14" s="57"/>
    </row>
    <row r="15" spans="3:43" ht="38.25" customHeight="1" thickBot="1">
      <c r="C15" s="51" t="s">
        <v>74</v>
      </c>
      <c r="D15" s="5"/>
      <c r="E15" s="1391"/>
      <c r="F15" s="61" t="s">
        <v>75</v>
      </c>
      <c r="G15" s="53" t="s">
        <v>65</v>
      </c>
      <c r="H15" s="188">
        <v>5000</v>
      </c>
      <c r="I15" s="189">
        <v>0</v>
      </c>
      <c r="J15" s="190">
        <v>0</v>
      </c>
      <c r="K15" s="426">
        <f>H15+I15-J15</f>
        <v>5000</v>
      </c>
      <c r="L15" s="220"/>
      <c r="M15" s="197"/>
      <c r="N15" s="197"/>
      <c r="O15" s="199"/>
      <c r="P15" s="199"/>
      <c r="Q15" s="199"/>
      <c r="R15" s="223"/>
      <c r="S15" s="193"/>
      <c r="T15" s="192"/>
      <c r="U15" s="194"/>
      <c r="V15" s="520">
        <f t="shared" si="0"/>
        <v>0</v>
      </c>
      <c r="W15" s="193"/>
      <c r="X15" s="193"/>
      <c r="Y15" s="224">
        <f>W15*23.884+X15*85.984</f>
        <v>0</v>
      </c>
      <c r="Z15" s="225"/>
      <c r="AA15" s="196"/>
      <c r="AB15" s="522"/>
      <c r="AC15" s="192"/>
      <c r="AD15" s="192"/>
      <c r="AE15" s="194"/>
      <c r="AF15" s="522"/>
      <c r="AG15" s="31"/>
      <c r="AH15" s="51" t="s">
        <v>74</v>
      </c>
      <c r="AK15" s="63" t="s">
        <v>76</v>
      </c>
      <c r="AL15" s="68">
        <f>IF(V18+V19+(V23*Assumptions!F9)+(V24*Assumptions!F6)+(V22*Assumptions!F16)+V25=0,"n.a.",V18+V19+(V23*Assumptions!F9)+(V24*Assumptions!F6)+(V22*Assumptions!F16)+V25)</f>
        <v>10301553.96578538</v>
      </c>
      <c r="AM15" s="68">
        <f>IF(AB18+AB19+AB23+(AB24*6)+(AB25)+(AB22*Assumptions!F16)=0,"n.a.",AB18+AB19+AB23+(AB24*6)+(AB25)+(AB22*Assumptions!F16))</f>
        <v>19458490.824261274</v>
      </c>
      <c r="AN15" s="69">
        <f>IF(AF18+AF19+(AF23*Assumptions!F9)+(AF24*Assumptions!F6)+AF22*Assumptions!F16=0,"n.a.",AF18+AF19+(AF23*Assumptions!F9)+(AF24*Assumptions!F6)+AF22*Assumptions!F16)</f>
        <v>2000000</v>
      </c>
      <c r="AO15" s="66">
        <f>SUM(AL15:AN15)</f>
        <v>31760044.790046655</v>
      </c>
      <c r="AP15" s="67">
        <f>AO15/$AO$19</f>
        <v>0.8065613210100392</v>
      </c>
      <c r="AQ15" s="57"/>
    </row>
    <row r="16" spans="3:43" ht="38.25" customHeight="1" thickBot="1">
      <c r="C16" s="60" t="s">
        <v>77</v>
      </c>
      <c r="D16" s="5"/>
      <c r="E16" s="1391"/>
      <c r="F16" s="61" t="s">
        <v>78</v>
      </c>
      <c r="G16" s="53" t="s">
        <v>65</v>
      </c>
      <c r="H16" s="188" t="s">
        <v>72</v>
      </c>
      <c r="I16" s="189" t="s">
        <v>72</v>
      </c>
      <c r="J16" s="190" t="s">
        <v>72</v>
      </c>
      <c r="K16" s="426" t="e">
        <f>H16+I16-J16</f>
        <v>#VALUE!</v>
      </c>
      <c r="L16" s="220"/>
      <c r="M16" s="197"/>
      <c r="N16" s="197"/>
      <c r="O16" s="199"/>
      <c r="P16" s="199"/>
      <c r="Q16" s="199"/>
      <c r="R16" s="223"/>
      <c r="S16" s="193"/>
      <c r="T16" s="192"/>
      <c r="U16" s="194"/>
      <c r="V16" s="520">
        <f t="shared" si="0"/>
        <v>0</v>
      </c>
      <c r="W16" s="193"/>
      <c r="X16" s="193"/>
      <c r="Y16" s="224">
        <f>W16*23.884+X16*85.984</f>
        <v>0</v>
      </c>
      <c r="Z16" s="225"/>
      <c r="AA16" s="196"/>
      <c r="AB16" s="523"/>
      <c r="AC16" s="192"/>
      <c r="AD16" s="192"/>
      <c r="AE16" s="194"/>
      <c r="AF16" s="522"/>
      <c r="AG16" s="31"/>
      <c r="AH16" s="60" t="s">
        <v>77</v>
      </c>
      <c r="AK16" s="430" t="s">
        <v>79</v>
      </c>
      <c r="AL16" s="70">
        <f>IF(V21*Assumptions!F20=0,"n.a.",V21*Assumptions!F20)</f>
        <v>693900</v>
      </c>
      <c r="AM16" s="70" t="str">
        <f>IF(AB21*Assumptions!F20=0,"n.a.",AB21*Assumptions!F20)</f>
        <v>n.a.</v>
      </c>
      <c r="AN16" s="71" t="str">
        <f>IF(AF21*Assumptions!F20=0,"n.a.",AF21*Assumptions!F20)</f>
        <v>n.a.</v>
      </c>
      <c r="AO16" s="72">
        <f>SUM(AL16:AN16)</f>
        <v>693900</v>
      </c>
      <c r="AP16" s="67">
        <f>AO16/$AO$19</f>
        <v>0.017621917864053618</v>
      </c>
      <c r="AQ16" s="73"/>
    </row>
    <row r="17" spans="3:43" ht="38.25" customHeight="1" thickBot="1" thickTop="1">
      <c r="C17" s="51" t="s">
        <v>80</v>
      </c>
      <c r="D17" s="5"/>
      <c r="E17" s="1391"/>
      <c r="F17" s="61" t="s">
        <v>81</v>
      </c>
      <c r="G17" s="53" t="s">
        <v>65</v>
      </c>
      <c r="H17" s="188" t="s">
        <v>72</v>
      </c>
      <c r="I17" s="189" t="s">
        <v>72</v>
      </c>
      <c r="J17" s="190" t="s">
        <v>72</v>
      </c>
      <c r="K17" s="426" t="e">
        <f>H17+I17-J17</f>
        <v>#VALUE!</v>
      </c>
      <c r="L17" s="220"/>
      <c r="M17" s="197"/>
      <c r="N17" s="197"/>
      <c r="O17" s="199"/>
      <c r="P17" s="199"/>
      <c r="Q17" s="199"/>
      <c r="R17" s="223"/>
      <c r="S17" s="193"/>
      <c r="T17" s="192"/>
      <c r="U17" s="194"/>
      <c r="V17" s="520">
        <f t="shared" si="0"/>
        <v>0</v>
      </c>
      <c r="W17" s="193"/>
      <c r="X17" s="193"/>
      <c r="Y17" s="224">
        <f>W17*23.884+X17*85.984</f>
        <v>0</v>
      </c>
      <c r="Z17" s="225"/>
      <c r="AA17" s="196"/>
      <c r="AB17" s="522"/>
      <c r="AC17" s="192"/>
      <c r="AD17" s="192"/>
      <c r="AE17" s="194"/>
      <c r="AF17" s="522"/>
      <c r="AG17" s="31"/>
      <c r="AH17" s="51" t="s">
        <v>80</v>
      </c>
      <c r="AK17" s="431" t="s">
        <v>354</v>
      </c>
      <c r="AL17" s="74">
        <f>SUM(AL14:AL16)</f>
        <v>10995453.96578538</v>
      </c>
      <c r="AM17" s="75">
        <f>SUM(AM14:AM16)</f>
        <v>19458490.824261274</v>
      </c>
      <c r="AN17" s="75">
        <f>SUM(AN14:AN16)</f>
        <v>8923153.96578538</v>
      </c>
      <c r="AO17" s="1443"/>
      <c r="AP17" s="1444"/>
      <c r="AQ17" s="76">
        <f>SUM(AL17:AN17)</f>
        <v>39377098.75583203</v>
      </c>
    </row>
    <row r="18" spans="3:43" ht="38.25" customHeight="1" thickBot="1" thickTop="1">
      <c r="C18" s="60" t="s">
        <v>82</v>
      </c>
      <c r="D18" s="5"/>
      <c r="E18" s="1391"/>
      <c r="F18" s="61" t="s">
        <v>83</v>
      </c>
      <c r="G18" s="53" t="s">
        <v>65</v>
      </c>
      <c r="H18" s="188">
        <v>17212</v>
      </c>
      <c r="I18" s="189">
        <v>2860</v>
      </c>
      <c r="J18" s="190">
        <v>774</v>
      </c>
      <c r="K18" s="426">
        <f>H18+I18-J18</f>
        <v>19298</v>
      </c>
      <c r="L18" s="220"/>
      <c r="M18" s="197"/>
      <c r="N18" s="197"/>
      <c r="O18" s="199"/>
      <c r="P18" s="199"/>
      <c r="Q18" s="199"/>
      <c r="R18" s="223"/>
      <c r="S18" s="193"/>
      <c r="T18" s="192"/>
      <c r="U18" s="194"/>
      <c r="V18" s="526">
        <f>Y18/0.3215*2</f>
        <v>10301553.96578538</v>
      </c>
      <c r="W18" s="547">
        <v>19.26</v>
      </c>
      <c r="X18" s="193"/>
      <c r="Y18" s="77">
        <f>X18*0.08598*1000000+W18*0.08598*1000000</f>
        <v>1655974.8</v>
      </c>
      <c r="Z18" s="225"/>
      <c r="AA18" s="196"/>
      <c r="AB18" s="528">
        <f>14.98*0.08598/0.3215*1000000</f>
        <v>4006159.8755832044</v>
      </c>
      <c r="AC18" s="192"/>
      <c r="AD18" s="192"/>
      <c r="AE18" s="194"/>
      <c r="AF18" s="528"/>
      <c r="AG18" s="31"/>
      <c r="AH18" s="60" t="s">
        <v>82</v>
      </c>
      <c r="AK18" s="431" t="s">
        <v>70</v>
      </c>
      <c r="AL18" s="78">
        <f>AL17/$AQ$17</f>
        <v>0.2792347408316077</v>
      </c>
      <c r="AM18" s="78">
        <f>AM17/$AQ$17</f>
        <v>0.4941575544942689</v>
      </c>
      <c r="AN18" s="78">
        <f>AN17/$AQ$17</f>
        <v>0.2266077046741235</v>
      </c>
      <c r="AO18" s="1445"/>
      <c r="AP18" s="1446"/>
      <c r="AQ18" s="57"/>
    </row>
    <row r="19" spans="3:43" ht="38.25" customHeight="1" thickBot="1">
      <c r="C19" s="51" t="s">
        <v>84</v>
      </c>
      <c r="D19" s="5"/>
      <c r="E19" s="1391"/>
      <c r="F19" s="61" t="s">
        <v>409</v>
      </c>
      <c r="G19" s="53" t="s">
        <v>65</v>
      </c>
      <c r="H19" s="198" t="s">
        <v>72</v>
      </c>
      <c r="I19" s="189" t="s">
        <v>72</v>
      </c>
      <c r="J19" s="190" t="s">
        <v>72</v>
      </c>
      <c r="K19" s="426" t="e">
        <f>H19+I19-J19</f>
        <v>#VALUE!</v>
      </c>
      <c r="L19" s="220"/>
      <c r="M19" s="197"/>
      <c r="N19" s="197"/>
      <c r="O19" s="199"/>
      <c r="P19" s="199"/>
      <c r="Q19" s="199"/>
      <c r="R19" s="223"/>
      <c r="S19" s="193"/>
      <c r="T19" s="192"/>
      <c r="U19" s="194"/>
      <c r="V19" s="526">
        <f t="shared" si="0"/>
        <v>0</v>
      </c>
      <c r="W19" s="193"/>
      <c r="X19" s="193"/>
      <c r="Y19" s="224">
        <f aca="true" t="shared" si="1" ref="Y19:Y24">W19*23.884+X19*85.984</f>
        <v>0</v>
      </c>
      <c r="Z19" s="225"/>
      <c r="AA19" s="196"/>
      <c r="AB19" s="529"/>
      <c r="AC19" s="192"/>
      <c r="AD19" s="192"/>
      <c r="AE19" s="194"/>
      <c r="AF19" s="528"/>
      <c r="AG19" s="31"/>
      <c r="AH19" s="51" t="s">
        <v>84</v>
      </c>
      <c r="AK19" s="1447"/>
      <c r="AL19" s="1447"/>
      <c r="AM19" s="1447"/>
      <c r="AN19" s="1448"/>
      <c r="AO19" s="79">
        <f>SUM(AO14:AO16)</f>
        <v>39377098.75583203</v>
      </c>
      <c r="AP19" s="1449"/>
      <c r="AQ19" s="1447"/>
    </row>
    <row r="20" spans="3:43" ht="28.5" customHeight="1" thickBot="1">
      <c r="C20" s="60" t="s">
        <v>85</v>
      </c>
      <c r="D20" s="5"/>
      <c r="E20" s="1391"/>
      <c r="F20" s="61" t="s">
        <v>86</v>
      </c>
      <c r="G20" s="80" t="s">
        <v>87</v>
      </c>
      <c r="H20" s="198" t="s">
        <v>72</v>
      </c>
      <c r="I20" s="189" t="s">
        <v>72</v>
      </c>
      <c r="J20" s="190" t="s">
        <v>72</v>
      </c>
      <c r="K20" s="426"/>
      <c r="L20" s="220"/>
      <c r="M20" s="197"/>
      <c r="N20" s="197"/>
      <c r="O20" s="199"/>
      <c r="P20" s="199"/>
      <c r="Q20" s="199"/>
      <c r="R20" s="223"/>
      <c r="S20" s="226"/>
      <c r="T20" s="227"/>
      <c r="U20" s="228"/>
      <c r="V20" s="520">
        <f t="shared" si="0"/>
        <v>0</v>
      </c>
      <c r="W20" s="226"/>
      <c r="X20" s="226"/>
      <c r="Y20" s="224">
        <f t="shared" si="1"/>
        <v>0</v>
      </c>
      <c r="Z20" s="200"/>
      <c r="AA20" s="201"/>
      <c r="AB20" s="524"/>
      <c r="AC20" s="227"/>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85">
        <f>514000</f>
        <v>514000</v>
      </c>
      <c r="I21" s="86" t="s">
        <v>72</v>
      </c>
      <c r="J21" s="87">
        <v>0</v>
      </c>
      <c r="K21" s="88" t="e">
        <f>H21+I21-J21</f>
        <v>#VALUE!</v>
      </c>
      <c r="L21" s="89"/>
      <c r="M21" s="90"/>
      <c r="N21" s="90"/>
      <c r="O21" s="91"/>
      <c r="P21" s="91"/>
      <c r="Q21" s="91"/>
      <c r="R21" s="92"/>
      <c r="S21" s="93"/>
      <c r="T21" s="94"/>
      <c r="U21" s="95"/>
      <c r="V21" s="530">
        <f>462600</f>
        <v>462600</v>
      </c>
      <c r="W21" s="193"/>
      <c r="X21" s="193"/>
      <c r="Y21" s="224">
        <f t="shared" si="1"/>
        <v>0</v>
      </c>
      <c r="Z21" s="225"/>
      <c r="AA21" s="196"/>
      <c r="AB21" s="532"/>
      <c r="AC21" s="192"/>
      <c r="AD21" s="192"/>
      <c r="AE21" s="194"/>
      <c r="AF21" s="532"/>
      <c r="AG21" s="31"/>
      <c r="AH21" s="51" t="s">
        <v>88</v>
      </c>
      <c r="AK21" s="57"/>
      <c r="AL21" s="57"/>
      <c r="AM21" s="57"/>
      <c r="AN21" s="538" t="s">
        <v>47</v>
      </c>
      <c r="AO21" s="539" t="s">
        <v>70</v>
      </c>
      <c r="AP21" s="81"/>
      <c r="AQ21" s="57"/>
    </row>
    <row r="22" spans="3:43" ht="28.5" customHeight="1" thickBot="1">
      <c r="C22" s="60" t="s">
        <v>90</v>
      </c>
      <c r="D22" s="5"/>
      <c r="E22" s="1391"/>
      <c r="F22" s="61" t="s">
        <v>91</v>
      </c>
      <c r="G22" s="80" t="s">
        <v>92</v>
      </c>
      <c r="H22" s="188">
        <v>3697</v>
      </c>
      <c r="I22" s="189" t="s">
        <v>72</v>
      </c>
      <c r="J22" s="190" t="s">
        <v>72</v>
      </c>
      <c r="K22" s="426" t="e">
        <f>H22+I22-J22</f>
        <v>#VALUE!</v>
      </c>
      <c r="L22" s="220"/>
      <c r="M22" s="197"/>
      <c r="N22" s="221"/>
      <c r="O22" s="199"/>
      <c r="P22" s="199"/>
      <c r="Q22" s="221"/>
      <c r="R22" s="231"/>
      <c r="S22" s="193"/>
      <c r="T22" s="192"/>
      <c r="U22" s="194"/>
      <c r="V22" s="526">
        <f>S22+T22+U22</f>
        <v>0</v>
      </c>
      <c r="W22" s="193"/>
      <c r="X22" s="193"/>
      <c r="Y22" s="224">
        <f t="shared" si="1"/>
        <v>0</v>
      </c>
      <c r="Z22" s="225"/>
      <c r="AA22" s="196"/>
      <c r="AB22" s="529"/>
      <c r="AC22" s="192"/>
      <c r="AD22" s="192"/>
      <c r="AE22" s="194"/>
      <c r="AF22" s="529"/>
      <c r="AG22" s="31"/>
      <c r="AH22" s="60" t="s">
        <v>90</v>
      </c>
      <c r="AK22" s="57"/>
      <c r="AL22" s="96" t="s">
        <v>349</v>
      </c>
      <c r="AM22" s="97"/>
      <c r="AN22" s="98">
        <f>(K13+K14+K20)*1000</f>
        <v>103791000</v>
      </c>
      <c r="AO22" s="99">
        <v>1</v>
      </c>
      <c r="AP22" s="81"/>
      <c r="AQ22" s="57"/>
    </row>
    <row r="23" spans="3:41" ht="28.5" customHeight="1" thickBot="1">
      <c r="C23" s="51" t="s">
        <v>94</v>
      </c>
      <c r="D23" s="5"/>
      <c r="E23" s="1391"/>
      <c r="F23" s="61" t="s">
        <v>95</v>
      </c>
      <c r="G23" s="80" t="s">
        <v>96</v>
      </c>
      <c r="H23" s="188">
        <v>1</v>
      </c>
      <c r="I23" s="189">
        <v>20</v>
      </c>
      <c r="J23" s="190">
        <v>1</v>
      </c>
      <c r="K23" s="426">
        <f>H23+I23-J23</f>
        <v>20</v>
      </c>
      <c r="L23" s="220"/>
      <c r="M23" s="221"/>
      <c r="N23" s="221"/>
      <c r="O23" s="221"/>
      <c r="P23" s="221"/>
      <c r="Q23" s="221"/>
      <c r="R23" s="222"/>
      <c r="S23" s="205"/>
      <c r="T23" s="192"/>
      <c r="U23" s="194"/>
      <c r="V23" s="526">
        <f>S23+T23+U23</f>
        <v>0</v>
      </c>
      <c r="W23" s="193"/>
      <c r="X23" s="193"/>
      <c r="Y23" s="224">
        <f t="shared" si="1"/>
        <v>0</v>
      </c>
      <c r="Z23" s="225"/>
      <c r="AA23" s="196"/>
      <c r="AB23" s="528"/>
      <c r="AC23" s="192"/>
      <c r="AD23" s="192"/>
      <c r="AE23" s="194"/>
      <c r="AF23" s="529"/>
      <c r="AG23" s="31"/>
      <c r="AH23" s="51" t="s">
        <v>94</v>
      </c>
      <c r="AL23" s="96" t="s">
        <v>93</v>
      </c>
      <c r="AM23" s="97"/>
      <c r="AN23" s="100">
        <f>AQ17</f>
        <v>39377098.75583203</v>
      </c>
      <c r="AO23" s="101">
        <f>AN23/AN22</f>
        <v>0.37938837428902344</v>
      </c>
    </row>
    <row r="24" spans="3:41" ht="28.5" customHeight="1" thickBot="1">
      <c r="C24" s="60" t="s">
        <v>97</v>
      </c>
      <c r="D24" s="5"/>
      <c r="E24" s="1391"/>
      <c r="F24" s="61" t="s">
        <v>98</v>
      </c>
      <c r="G24" s="102" t="s">
        <v>99</v>
      </c>
      <c r="H24" s="188">
        <v>800000</v>
      </c>
      <c r="I24" s="189">
        <v>350000</v>
      </c>
      <c r="J24" s="190"/>
      <c r="K24" s="426">
        <f>H24+I24-J24</f>
        <v>1150000</v>
      </c>
      <c r="L24" s="220"/>
      <c r="M24" s="221"/>
      <c r="N24" s="221"/>
      <c r="O24" s="221"/>
      <c r="P24" s="221"/>
      <c r="Q24" s="221"/>
      <c r="R24" s="222"/>
      <c r="S24" s="205"/>
      <c r="T24" s="192"/>
      <c r="U24" s="194"/>
      <c r="V24" s="526">
        <f>S24+T24+U24</f>
        <v>0</v>
      </c>
      <c r="W24" s="193"/>
      <c r="X24" s="193"/>
      <c r="Y24" s="224">
        <f t="shared" si="1"/>
        <v>0</v>
      </c>
      <c r="Z24" s="225"/>
      <c r="AA24" s="196"/>
      <c r="AB24" s="528"/>
      <c r="AC24" s="192">
        <v>1000000</v>
      </c>
      <c r="AD24" s="192"/>
      <c r="AE24" s="194"/>
      <c r="AF24" s="529">
        <v>1000000</v>
      </c>
      <c r="AG24" s="31"/>
      <c r="AH24" s="60" t="s">
        <v>97</v>
      </c>
      <c r="AL24" s="96" t="s">
        <v>551</v>
      </c>
      <c r="AM24" s="97"/>
      <c r="AN24" s="98"/>
      <c r="AO24" s="99">
        <f>AO14/AN23</f>
        <v>0.17581676112590727</v>
      </c>
    </row>
    <row r="25" spans="3:41" ht="28.5" customHeight="1" thickBot="1">
      <c r="C25" s="104" t="s">
        <v>100</v>
      </c>
      <c r="D25" s="5"/>
      <c r="E25" s="1392"/>
      <c r="F25" s="105" t="s">
        <v>101</v>
      </c>
      <c r="G25" s="106"/>
      <c r="H25" s="232"/>
      <c r="I25" s="232"/>
      <c r="J25" s="233"/>
      <c r="K25" s="261">
        <f>H25+I25-J25</f>
        <v>0</v>
      </c>
      <c r="L25" s="232"/>
      <c r="M25" s="234"/>
      <c r="N25" s="234"/>
      <c r="O25" s="234"/>
      <c r="P25" s="234"/>
      <c r="Q25" s="234"/>
      <c r="R25" s="233"/>
      <c r="S25" s="232"/>
      <c r="T25" s="234"/>
      <c r="U25" s="233"/>
      <c r="V25" s="526"/>
      <c r="W25" s="237"/>
      <c r="X25" s="548">
        <v>38.52</v>
      </c>
      <c r="Y25" s="224">
        <f>X25*0.08598*1000000+W25*0.08598*1000000</f>
        <v>3311949.6</v>
      </c>
      <c r="Z25" s="237"/>
      <c r="AA25" s="238"/>
      <c r="AB25" s="528">
        <f>Y25/Assumptions!F30*Assumptions!F20</f>
        <v>15452330.94867807</v>
      </c>
      <c r="AC25" s="232"/>
      <c r="AD25" s="234"/>
      <c r="AE25" s="239"/>
      <c r="AF25" s="240"/>
      <c r="AG25" s="31"/>
      <c r="AH25" s="104" t="s">
        <v>100</v>
      </c>
      <c r="AL25" s="96" t="s">
        <v>552</v>
      </c>
      <c r="AM25" s="103"/>
      <c r="AN25" s="100">
        <f>IF(AB25+V25=0,"n.a.",AB25+V25)</f>
        <v>15452330.94867807</v>
      </c>
      <c r="AO25" s="421">
        <f>IF(AN25/AN23=0,"n.a.",AN25/AN23)</f>
        <v>0.39241923445133114</v>
      </c>
    </row>
    <row r="26" spans="3:43" s="108" customFormat="1" ht="28.5" customHeight="1" thickBot="1">
      <c r="C26" s="104" t="s">
        <v>103</v>
      </c>
      <c r="D26" s="109"/>
      <c r="E26" s="110"/>
      <c r="F26" s="111"/>
      <c r="G26" s="112"/>
      <c r="H26" s="113"/>
      <c r="I26" s="113"/>
      <c r="J26" s="113"/>
      <c r="K26" s="113"/>
      <c r="L26" s="114"/>
      <c r="M26" s="114"/>
      <c r="N26" s="114"/>
      <c r="O26" s="115"/>
      <c r="P26" s="115"/>
      <c r="Q26" s="116">
        <f>SUM(Y26:AF26)</f>
        <v>30804798.755832035</v>
      </c>
      <c r="R26" s="117" t="s">
        <v>104</v>
      </c>
      <c r="S26" s="118"/>
      <c r="T26" s="119"/>
      <c r="U26" s="120"/>
      <c r="V26" s="121">
        <f>S26+T26+U26</f>
        <v>0</v>
      </c>
      <c r="W26" s="118"/>
      <c r="X26" s="119"/>
      <c r="Y26" s="122"/>
      <c r="Z26" s="123"/>
      <c r="AA26" s="124"/>
      <c r="AB26" s="125">
        <f>SUM(AB14:AB25)</f>
        <v>19458490.824261274</v>
      </c>
      <c r="AC26" s="123">
        <f>SUM(AC14:AC25)</f>
        <v>4423153.96578538</v>
      </c>
      <c r="AD26" s="126"/>
      <c r="AE26" s="124"/>
      <c r="AF26" s="125">
        <f>SUM(AF14:AF19)</f>
        <v>6923153.96578538</v>
      </c>
      <c r="AG26" s="127"/>
      <c r="AH26" s="104" t="s">
        <v>103</v>
      </c>
      <c r="AJ26" s="1"/>
      <c r="AK26" s="1"/>
      <c r="AL26" s="96" t="s">
        <v>102</v>
      </c>
      <c r="AM26" s="97"/>
      <c r="AN26" s="107">
        <f>AO14/AL9</f>
        <v>0.7678234630658156</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546">
        <f>Y25/0.3215*2</f>
        <v>20603107.93157076</v>
      </c>
      <c r="Y27" s="131"/>
      <c r="Z27" s="133"/>
      <c r="AA27" s="133"/>
      <c r="AB27" s="544">
        <f>VLOOKUP(AC2,'JFSQ p70'!6:58,11,FALSE)*1000</f>
        <v>8417000</v>
      </c>
      <c r="AC27" s="134"/>
      <c r="AD27" s="5"/>
      <c r="AE27" s="5"/>
      <c r="AF27" s="135"/>
      <c r="AG27" s="31"/>
      <c r="AH27" s="136"/>
      <c r="AL27" s="96" t="s">
        <v>105</v>
      </c>
      <c r="AM27" s="103"/>
      <c r="AN27" s="107">
        <f>((AN23/Assumptions!F20)*Assumptions!F30/1000000)</f>
        <v>8.439824833333333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299</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360.54720000000003</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0.008584457142857143</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2.xml><?xml version="1.0" encoding="utf-8"?>
<worksheet xmlns="http://schemas.openxmlformats.org/spreadsheetml/2006/main" xmlns:r="http://schemas.openxmlformats.org/officeDocument/2006/relationships">
  <sheetPr codeName="Tabelle15">
    <tabColor indexed="11"/>
  </sheetPr>
  <dimension ref="C1:AS95"/>
  <sheetViews>
    <sheetView zoomScale="75" zoomScaleNormal="75" zoomScaleSheetLayoutView="100" workbookViewId="0" topLeftCell="AG4">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10.710937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271</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Switzerland</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7523934</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0.5030352472523018</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3978000</v>
      </c>
      <c r="I13" s="251">
        <v>232849</v>
      </c>
      <c r="J13" s="251">
        <v>1734052</v>
      </c>
      <c r="K13" s="252">
        <v>2476797</v>
      </c>
      <c r="L13" s="185">
        <v>1687000</v>
      </c>
      <c r="M13" s="186">
        <v>486000</v>
      </c>
      <c r="N13" s="186">
        <v>595000</v>
      </c>
      <c r="O13" s="187">
        <v>29000</v>
      </c>
      <c r="P13" s="253">
        <v>0</v>
      </c>
      <c r="Q13" s="187">
        <v>0</v>
      </c>
      <c r="R13" s="186">
        <v>0</v>
      </c>
      <c r="S13" s="229">
        <v>0</v>
      </c>
      <c r="T13" s="229">
        <v>0</v>
      </c>
      <c r="U13" s="229">
        <v>0</v>
      </c>
      <c r="V13" s="519">
        <v>0</v>
      </c>
      <c r="W13" s="212">
        <v>0</v>
      </c>
      <c r="X13" s="254">
        <v>0</v>
      </c>
      <c r="Y13" s="216">
        <v>0</v>
      </c>
      <c r="Z13" s="217"/>
      <c r="AA13" s="218"/>
      <c r="AB13" s="219"/>
      <c r="AC13" s="217"/>
      <c r="AD13" s="218"/>
      <c r="AE13" s="218"/>
      <c r="AF13" s="219"/>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1251000</v>
      </c>
      <c r="I14" s="251">
        <v>6886</v>
      </c>
      <c r="J14" s="251">
        <v>39056</v>
      </c>
      <c r="K14" s="255">
        <v>1218830</v>
      </c>
      <c r="L14" s="220"/>
      <c r="M14" s="221"/>
      <c r="N14" s="221"/>
      <c r="O14" s="222"/>
      <c r="P14" s="256">
        <v>0</v>
      </c>
      <c r="Q14" s="192">
        <v>0</v>
      </c>
      <c r="R14" s="192">
        <v>0</v>
      </c>
      <c r="S14" s="229"/>
      <c r="T14" s="229" t="s">
        <v>269</v>
      </c>
      <c r="U14" s="229">
        <v>0</v>
      </c>
      <c r="V14" s="520"/>
      <c r="W14" s="193">
        <v>0</v>
      </c>
      <c r="X14" s="193">
        <v>0</v>
      </c>
      <c r="Y14" s="224">
        <v>0</v>
      </c>
      <c r="Z14" s="225">
        <v>0</v>
      </c>
      <c r="AA14" s="196">
        <v>0</v>
      </c>
      <c r="AB14" s="522">
        <v>0</v>
      </c>
      <c r="AC14" s="192">
        <v>1218800</v>
      </c>
      <c r="AD14" s="192">
        <v>0</v>
      </c>
      <c r="AE14" s="194">
        <v>0</v>
      </c>
      <c r="AF14" s="522">
        <f>SUM(AC14:AE14)</f>
        <v>1218800</v>
      </c>
      <c r="AG14" s="31"/>
      <c r="AH14" s="60" t="s">
        <v>71</v>
      </c>
      <c r="AK14" s="63" t="s">
        <v>73</v>
      </c>
      <c r="AL14" s="64">
        <f>IF(V13+V14+V15+V16+V17+(V20*Assumptions!F20)=0,"n.a.",V13+V14+V15+V16+V17+(V20*Assumptions!F20))</f>
        <v>716000</v>
      </c>
      <c r="AM14" s="64" t="str">
        <f>IF(AB14+AB15+AB16+AB17+(AB20*Assumptions!F20)=0,"n.a.",AB14+AB15+AB16+AB17+(AB20*Assumptions!F20))</f>
        <v>n.a.</v>
      </c>
      <c r="AN14" s="65">
        <f>IF(AF14+AF15+AF16+AF17+(AF20*Assumptions!F20)=0,"n.a.",AF14+AF15+AF16+AF17+(AF20*Assumptions!F20))</f>
        <v>1218800</v>
      </c>
      <c r="AO14" s="66">
        <f>SUM(AL14:AN14)</f>
        <v>1934800</v>
      </c>
      <c r="AP14" s="67">
        <f>AO14/$AO$19</f>
        <v>0.5112021652904616</v>
      </c>
      <c r="AQ14" s="57"/>
    </row>
    <row r="15" spans="3:43" ht="38.25" customHeight="1" thickBot="1">
      <c r="C15" s="51" t="s">
        <v>74</v>
      </c>
      <c r="D15" s="5"/>
      <c r="E15" s="1391"/>
      <c r="F15" s="61" t="s">
        <v>75</v>
      </c>
      <c r="G15" s="102" t="s">
        <v>119</v>
      </c>
      <c r="H15" s="257">
        <v>500000</v>
      </c>
      <c r="I15" s="257">
        <v>0</v>
      </c>
      <c r="J15" s="257">
        <v>0</v>
      </c>
      <c r="K15" s="255">
        <v>500000</v>
      </c>
      <c r="L15" s="220"/>
      <c r="M15" s="197">
        <v>0</v>
      </c>
      <c r="N15" s="197">
        <v>0</v>
      </c>
      <c r="O15" s="197">
        <v>0</v>
      </c>
      <c r="P15" s="192">
        <v>0</v>
      </c>
      <c r="Q15" s="192">
        <v>0</v>
      </c>
      <c r="R15" s="192">
        <v>0</v>
      </c>
      <c r="S15" s="229">
        <v>500000</v>
      </c>
      <c r="T15" s="229">
        <v>0</v>
      </c>
      <c r="U15" s="229">
        <v>0</v>
      </c>
      <c r="V15" s="520">
        <v>500000</v>
      </c>
      <c r="W15" s="193">
        <v>0</v>
      </c>
      <c r="X15" s="193">
        <v>0</v>
      </c>
      <c r="Y15" s="224">
        <v>0</v>
      </c>
      <c r="Z15" s="225">
        <v>0</v>
      </c>
      <c r="AA15" s="196">
        <v>0</v>
      </c>
      <c r="AB15" s="522">
        <v>0</v>
      </c>
      <c r="AC15" s="192"/>
      <c r="AD15" s="192">
        <v>0</v>
      </c>
      <c r="AE15" s="194">
        <v>0</v>
      </c>
      <c r="AF15" s="522">
        <v>0</v>
      </c>
      <c r="AG15" s="31"/>
      <c r="AH15" s="51" t="s">
        <v>74</v>
      </c>
      <c r="AK15" s="63" t="s">
        <v>76</v>
      </c>
      <c r="AL15" s="68">
        <f>IF(V18+V19+(V23*Assumptions!F9)+(V24*Assumptions!F6)+(V22*Assumptions!F16)+V25=0,"n.a.",V18+V19+(V23*Assumptions!F9)+(V24*Assumptions!F6)+(V22*Assumptions!F16)+V25)</f>
        <v>952000</v>
      </c>
      <c r="AM15" s="68">
        <f>IF(AB18+AB19+(AB23*Assumptions!F9)+(AB24*Assumptions!F6)+(AB25)+(AB22*Assumptions!F16)=0,"n.a.",AB18+AB19+(AB23*Assumptions!F9)+(AB24*Assumptions!F6)+(AB25)+(AB22*Assumptions!F16))</f>
        <v>224000</v>
      </c>
      <c r="AN15" s="69">
        <f>IF(AF18+AF19+(AF23*Assumptions!F9)+(AF24*Assumptions!F6)+(AF22*Assumptions!F16)=0,"n.a.",AF18+AF19+(AF23*Assumptions!F9)+(AF24*Assumptions!F6)+(AF22*Assumptions!F16))</f>
        <v>74004</v>
      </c>
      <c r="AO15" s="66">
        <f>SUM(AL15:AN15)</f>
        <v>1250004</v>
      </c>
      <c r="AP15" s="67">
        <f>AO15/$AO$19</f>
        <v>0.33026915000089835</v>
      </c>
      <c r="AQ15" s="57"/>
    </row>
    <row r="16" spans="3:43" ht="38.25" customHeight="1" thickBot="1">
      <c r="C16" s="60" t="s">
        <v>77</v>
      </c>
      <c r="D16" s="5"/>
      <c r="E16" s="1391"/>
      <c r="F16" s="61" t="s">
        <v>78</v>
      </c>
      <c r="G16" s="102" t="s">
        <v>119</v>
      </c>
      <c r="H16" s="251" t="s">
        <v>270</v>
      </c>
      <c r="I16" s="251">
        <v>0</v>
      </c>
      <c r="J16" s="251">
        <v>0</v>
      </c>
      <c r="K16" s="255"/>
      <c r="L16" s="220"/>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f>IF(V21*Assumptions!F20=0,"n.a.",V21*Assumptions!F20)</f>
        <v>600000</v>
      </c>
      <c r="AM16" s="70" t="str">
        <f>IF(AB21*Assumptions!F20=0,"n.a.",AB21*Assumptions!F20)</f>
        <v>n.a.</v>
      </c>
      <c r="AN16" s="71" t="str">
        <f>IF(AF21*Assumptions!F20=0,"n.a.",AF21*Assumptions!F20)</f>
        <v>n.a.</v>
      </c>
      <c r="AO16" s="72">
        <f>SUM(AL16:AN16)</f>
        <v>600000</v>
      </c>
      <c r="AP16" s="67">
        <f>AO16/$AO$19</f>
        <v>0.15852868470864012</v>
      </c>
      <c r="AQ16" s="73"/>
    </row>
    <row r="17" spans="3:43" ht="38.25" customHeight="1" thickBot="1" thickTop="1">
      <c r="C17" s="51" t="s">
        <v>80</v>
      </c>
      <c r="D17" s="5"/>
      <c r="E17" s="1391"/>
      <c r="F17" s="61" t="s">
        <v>81</v>
      </c>
      <c r="G17" s="102" t="s">
        <v>119</v>
      </c>
      <c r="H17" s="258">
        <v>0</v>
      </c>
      <c r="I17" s="258">
        <v>0</v>
      </c>
      <c r="J17" s="258">
        <v>0</v>
      </c>
      <c r="K17" s="255">
        <v>0</v>
      </c>
      <c r="L17" s="220"/>
      <c r="M17" s="197">
        <v>0</v>
      </c>
      <c r="N17" s="197">
        <v>0</v>
      </c>
      <c r="O17" s="197">
        <v>0</v>
      </c>
      <c r="P17" s="192">
        <v>0</v>
      </c>
      <c r="Q17" s="192">
        <v>0</v>
      </c>
      <c r="R17" s="192">
        <v>0</v>
      </c>
      <c r="S17" s="229">
        <v>0</v>
      </c>
      <c r="T17" s="229">
        <v>0</v>
      </c>
      <c r="U17" s="229">
        <v>0</v>
      </c>
      <c r="V17" s="520">
        <v>0</v>
      </c>
      <c r="W17" s="193">
        <v>0</v>
      </c>
      <c r="X17" s="193">
        <v>0</v>
      </c>
      <c r="Y17" s="224">
        <v>0</v>
      </c>
      <c r="Z17" s="225">
        <v>0</v>
      </c>
      <c r="AA17" s="196">
        <v>0</v>
      </c>
      <c r="AB17" s="522">
        <v>0</v>
      </c>
      <c r="AC17" s="192">
        <v>0</v>
      </c>
      <c r="AD17" s="192">
        <v>0</v>
      </c>
      <c r="AE17" s="194">
        <v>0</v>
      </c>
      <c r="AF17" s="522">
        <v>0</v>
      </c>
      <c r="AG17" s="31"/>
      <c r="AH17" s="51" t="s">
        <v>80</v>
      </c>
      <c r="AK17" s="431" t="s">
        <v>354</v>
      </c>
      <c r="AL17" s="74">
        <f>SUM(AL14:AL16)</f>
        <v>2268000</v>
      </c>
      <c r="AM17" s="75">
        <f>SUM(AM14:AM16)</f>
        <v>224000</v>
      </c>
      <c r="AN17" s="75">
        <f>SUM(AN14:AN16)</f>
        <v>1292804</v>
      </c>
      <c r="AO17" s="1443"/>
      <c r="AP17" s="1444"/>
      <c r="AQ17" s="76">
        <f>SUM(AL17:AN17)</f>
        <v>3784804</v>
      </c>
    </row>
    <row r="18" spans="3:43" ht="38.25" customHeight="1" thickBot="1" thickTop="1">
      <c r="C18" s="60" t="s">
        <v>82</v>
      </c>
      <c r="D18" s="5"/>
      <c r="E18" s="1391"/>
      <c r="F18" s="61" t="s">
        <v>83</v>
      </c>
      <c r="G18" s="102" t="s">
        <v>119</v>
      </c>
      <c r="H18" s="251">
        <v>927000</v>
      </c>
      <c r="I18" s="251">
        <v>769000</v>
      </c>
      <c r="J18" s="251">
        <v>0</v>
      </c>
      <c r="K18" s="255">
        <v>1696000</v>
      </c>
      <c r="L18" s="220"/>
      <c r="M18" s="197">
        <v>570000</v>
      </c>
      <c r="N18" s="197">
        <v>614000</v>
      </c>
      <c r="O18" s="199">
        <v>0</v>
      </c>
      <c r="P18" s="192" t="s">
        <v>244</v>
      </c>
      <c r="Q18" s="192">
        <v>0</v>
      </c>
      <c r="R18" s="192">
        <v>0</v>
      </c>
      <c r="S18" s="193">
        <v>500000</v>
      </c>
      <c r="T18" s="229">
        <v>0</v>
      </c>
      <c r="U18" s="229">
        <v>0</v>
      </c>
      <c r="V18" s="526">
        <f>SUM(S18:U18)</f>
        <v>500000</v>
      </c>
      <c r="W18" s="193">
        <v>0</v>
      </c>
      <c r="X18" s="193">
        <v>0</v>
      </c>
      <c r="Y18" s="224">
        <v>0</v>
      </c>
      <c r="Z18" s="225">
        <v>0</v>
      </c>
      <c r="AA18" s="196">
        <v>0</v>
      </c>
      <c r="AB18" s="528">
        <v>0</v>
      </c>
      <c r="AC18" s="192">
        <v>0</v>
      </c>
      <c r="AD18" s="192">
        <v>0</v>
      </c>
      <c r="AE18" s="194">
        <v>0</v>
      </c>
      <c r="AF18" s="528">
        <v>0</v>
      </c>
      <c r="AG18" s="31"/>
      <c r="AH18" s="60" t="s">
        <v>82</v>
      </c>
      <c r="AK18" s="431" t="s">
        <v>70</v>
      </c>
      <c r="AL18" s="78">
        <f>AL17/$AQ$17</f>
        <v>0.5992384281986597</v>
      </c>
      <c r="AM18" s="78">
        <f>AM17/$AQ$17</f>
        <v>0.05918404229122565</v>
      </c>
      <c r="AN18" s="78">
        <f>AN17/$AQ$17</f>
        <v>0.34157752951011466</v>
      </c>
      <c r="AO18" s="1445"/>
      <c r="AP18" s="1446"/>
      <c r="AQ18" s="57"/>
    </row>
    <row r="19" spans="3:43" ht="38.25" customHeight="1" thickBot="1">
      <c r="C19" s="51" t="s">
        <v>84</v>
      </c>
      <c r="D19" s="5"/>
      <c r="E19" s="1391"/>
      <c r="F19" s="61" t="s">
        <v>409</v>
      </c>
      <c r="G19" s="102" t="s">
        <v>119</v>
      </c>
      <c r="H19" s="251">
        <v>415400</v>
      </c>
      <c r="I19" s="251">
        <v>0</v>
      </c>
      <c r="J19" s="251">
        <v>0</v>
      </c>
      <c r="K19" s="255">
        <v>415400</v>
      </c>
      <c r="L19" s="220"/>
      <c r="M19" s="197">
        <v>0</v>
      </c>
      <c r="N19" s="197">
        <v>0</v>
      </c>
      <c r="O19" s="199">
        <v>0</v>
      </c>
      <c r="P19" s="192">
        <v>0</v>
      </c>
      <c r="Q19" s="192">
        <v>0</v>
      </c>
      <c r="R19" s="192">
        <v>0</v>
      </c>
      <c r="S19" s="229">
        <v>415000</v>
      </c>
      <c r="T19" s="229">
        <v>0</v>
      </c>
      <c r="U19" s="229">
        <v>0</v>
      </c>
      <c r="V19" s="526">
        <v>415000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3784804</v>
      </c>
      <c r="AP19" s="1449"/>
      <c r="AQ19" s="1447"/>
    </row>
    <row r="20" spans="3:43" ht="28.5" customHeight="1" thickBot="1">
      <c r="C20" s="60" t="s">
        <v>85</v>
      </c>
      <c r="D20" s="5"/>
      <c r="E20" s="1391"/>
      <c r="F20" s="61" t="s">
        <v>86</v>
      </c>
      <c r="G20" s="102" t="s">
        <v>87</v>
      </c>
      <c r="H20" s="251">
        <v>144000</v>
      </c>
      <c r="I20" s="251">
        <v>0</v>
      </c>
      <c r="J20" s="251">
        <v>0</v>
      </c>
      <c r="K20" s="255">
        <v>144000</v>
      </c>
      <c r="L20" s="220"/>
      <c r="M20" s="197">
        <v>0</v>
      </c>
      <c r="N20" s="197">
        <v>0</v>
      </c>
      <c r="O20" s="197">
        <v>0</v>
      </c>
      <c r="P20" s="192">
        <v>0</v>
      </c>
      <c r="Q20" s="192">
        <v>0</v>
      </c>
      <c r="R20" s="192">
        <v>0</v>
      </c>
      <c r="S20" s="229">
        <v>144000</v>
      </c>
      <c r="T20" s="229">
        <v>0</v>
      </c>
      <c r="U20" s="229">
        <v>0</v>
      </c>
      <c r="V20" s="520">
        <v>144000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v>800000</v>
      </c>
      <c r="I21" s="251">
        <v>0</v>
      </c>
      <c r="J21" s="251">
        <v>0</v>
      </c>
      <c r="K21" s="255">
        <v>400000</v>
      </c>
      <c r="L21" s="220"/>
      <c r="M21" s="229">
        <v>0</v>
      </c>
      <c r="N21" s="229">
        <v>0</v>
      </c>
      <c r="O21" s="230">
        <v>0</v>
      </c>
      <c r="P21" s="192">
        <v>0</v>
      </c>
      <c r="Q21" s="192" t="s">
        <v>244</v>
      </c>
      <c r="R21" s="192">
        <v>0</v>
      </c>
      <c r="S21" s="229">
        <v>300000</v>
      </c>
      <c r="T21" s="229">
        <v>100000</v>
      </c>
      <c r="U21" s="229">
        <v>0</v>
      </c>
      <c r="V21" s="516">
        <v>400000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v>600000</v>
      </c>
      <c r="I22" s="251">
        <v>0</v>
      </c>
      <c r="J22" s="251">
        <v>264000</v>
      </c>
      <c r="K22" s="255">
        <v>336000</v>
      </c>
      <c r="L22" s="220"/>
      <c r="M22" s="197">
        <v>0</v>
      </c>
      <c r="N22" s="221"/>
      <c r="O22" s="199">
        <v>150000</v>
      </c>
      <c r="P22" s="192">
        <v>0</v>
      </c>
      <c r="Q22" s="221"/>
      <c r="R22" s="192">
        <v>0</v>
      </c>
      <c r="S22" s="229">
        <v>185000</v>
      </c>
      <c r="T22" s="229">
        <v>0</v>
      </c>
      <c r="U22" s="229">
        <v>0</v>
      </c>
      <c r="V22" s="526">
        <v>185000</v>
      </c>
      <c r="W22" s="193">
        <v>0</v>
      </c>
      <c r="X22" s="193">
        <v>0</v>
      </c>
      <c r="Y22" s="224">
        <v>0</v>
      </c>
      <c r="Z22" s="225">
        <v>0</v>
      </c>
      <c r="AA22" s="196">
        <v>0</v>
      </c>
      <c r="AB22" s="528">
        <v>0</v>
      </c>
      <c r="AC22" s="192">
        <v>0</v>
      </c>
      <c r="AD22" s="192">
        <v>0</v>
      </c>
      <c r="AE22" s="194">
        <v>0</v>
      </c>
      <c r="AF22" s="528">
        <v>0</v>
      </c>
      <c r="AG22" s="31"/>
      <c r="AH22" s="60" t="s">
        <v>90</v>
      </c>
      <c r="AK22" s="57"/>
      <c r="AL22" s="96" t="s">
        <v>349</v>
      </c>
      <c r="AM22" s="97"/>
      <c r="AN22" s="98">
        <f>(K13+K14)+H15+K20</f>
        <v>4339627</v>
      </c>
      <c r="AO22" s="99">
        <v>1</v>
      </c>
      <c r="AP22" s="81"/>
      <c r="AQ22" s="57"/>
    </row>
    <row r="23" spans="3:41" ht="28.5" customHeight="1" thickBot="1">
      <c r="C23" s="51" t="s">
        <v>94</v>
      </c>
      <c r="D23" s="5"/>
      <c r="E23" s="1391"/>
      <c r="F23" s="61" t="s">
        <v>95</v>
      </c>
      <c r="G23" s="102" t="s">
        <v>99</v>
      </c>
      <c r="H23" s="251">
        <v>1600</v>
      </c>
      <c r="I23" s="251">
        <v>10753</v>
      </c>
      <c r="J23" s="251">
        <v>19</v>
      </c>
      <c r="K23" s="255">
        <v>12334</v>
      </c>
      <c r="L23" s="220"/>
      <c r="M23" s="221"/>
      <c r="N23" s="221"/>
      <c r="O23" s="221"/>
      <c r="P23" s="221"/>
      <c r="Q23" s="221"/>
      <c r="R23" s="222"/>
      <c r="S23" s="229">
        <v>0</v>
      </c>
      <c r="T23" s="229">
        <v>0</v>
      </c>
      <c r="U23" s="229">
        <v>0</v>
      </c>
      <c r="V23" s="526">
        <v>0</v>
      </c>
      <c r="W23" s="193">
        <v>0</v>
      </c>
      <c r="X23" s="193">
        <v>0</v>
      </c>
      <c r="Y23" s="224">
        <v>0</v>
      </c>
      <c r="Z23" s="225">
        <v>0</v>
      </c>
      <c r="AA23" s="196">
        <v>0</v>
      </c>
      <c r="AB23" s="528">
        <v>0</v>
      </c>
      <c r="AC23" s="192">
        <v>0</v>
      </c>
      <c r="AD23" s="192">
        <v>0</v>
      </c>
      <c r="AE23" s="194">
        <v>0</v>
      </c>
      <c r="AF23" s="528">
        <v>12334</v>
      </c>
      <c r="AG23" s="31"/>
      <c r="AH23" s="51" t="s">
        <v>94</v>
      </c>
      <c r="AL23" s="96" t="s">
        <v>93</v>
      </c>
      <c r="AM23" s="97"/>
      <c r="AN23" s="100">
        <f>AQ17</f>
        <v>3784804</v>
      </c>
      <c r="AO23" s="101">
        <f>AN23/AN22</f>
        <v>0.8721496110149559</v>
      </c>
    </row>
    <row r="24" spans="3:41" ht="28.5" customHeight="1" thickBot="1">
      <c r="C24" s="60" t="s">
        <v>97</v>
      </c>
      <c r="D24" s="5"/>
      <c r="E24" s="1391"/>
      <c r="F24" s="61" t="s">
        <v>98</v>
      </c>
      <c r="G24" s="102" t="s">
        <v>99</v>
      </c>
      <c r="H24" s="251">
        <v>0</v>
      </c>
      <c r="I24" s="251">
        <v>0</v>
      </c>
      <c r="J24" s="251">
        <v>0</v>
      </c>
      <c r="K24" s="255">
        <v>0</v>
      </c>
      <c r="L24" s="220"/>
      <c r="M24" s="221"/>
      <c r="N24" s="221"/>
      <c r="O24" s="221"/>
      <c r="P24" s="221"/>
      <c r="Q24" s="221"/>
      <c r="R24" s="222"/>
      <c r="S24" s="229">
        <v>0</v>
      </c>
      <c r="T24" s="229">
        <v>0</v>
      </c>
      <c r="U24" s="229">
        <v>0</v>
      </c>
      <c r="V24" s="526">
        <v>0</v>
      </c>
      <c r="W24" s="193">
        <v>0</v>
      </c>
      <c r="X24" s="193">
        <v>0</v>
      </c>
      <c r="Y24" s="224">
        <v>0</v>
      </c>
      <c r="Z24" s="225">
        <v>0</v>
      </c>
      <c r="AA24" s="196">
        <v>0</v>
      </c>
      <c r="AB24" s="528">
        <v>0</v>
      </c>
      <c r="AC24" s="192">
        <v>0</v>
      </c>
      <c r="AD24" s="192">
        <v>0</v>
      </c>
      <c r="AE24" s="194">
        <v>0</v>
      </c>
      <c r="AF24" s="528">
        <v>0</v>
      </c>
      <c r="AG24" s="31"/>
      <c r="AH24" s="60" t="s">
        <v>97</v>
      </c>
      <c r="AL24" s="96" t="s">
        <v>551</v>
      </c>
      <c r="AM24" s="97"/>
      <c r="AN24" s="98"/>
      <c r="AO24" s="99">
        <f>AO14/AN23</f>
        <v>0.5112021652904616</v>
      </c>
    </row>
    <row r="25" spans="3:41" ht="28.5" customHeight="1" thickBot="1">
      <c r="C25" s="104" t="s">
        <v>100</v>
      </c>
      <c r="D25" s="5"/>
      <c r="E25" s="1392"/>
      <c r="F25" s="105" t="s">
        <v>101</v>
      </c>
      <c r="G25" s="420"/>
      <c r="H25" s="259">
        <v>0</v>
      </c>
      <c r="I25" s="259">
        <v>0</v>
      </c>
      <c r="J25" s="260">
        <v>0</v>
      </c>
      <c r="K25" s="261">
        <v>0</v>
      </c>
      <c r="L25" s="232"/>
      <c r="M25" s="234"/>
      <c r="N25" s="234"/>
      <c r="O25" s="234"/>
      <c r="P25" s="234"/>
      <c r="Q25" s="234"/>
      <c r="R25" s="233"/>
      <c r="S25" s="232"/>
      <c r="T25" s="234"/>
      <c r="U25" s="233"/>
      <c r="V25" s="526"/>
      <c r="W25" s="235">
        <v>0</v>
      </c>
      <c r="X25" s="236">
        <v>0</v>
      </c>
      <c r="Y25" s="224">
        <v>0</v>
      </c>
      <c r="Z25" s="237">
        <v>0</v>
      </c>
      <c r="AA25" s="238">
        <v>0</v>
      </c>
      <c r="AB25" s="528">
        <f>VLOOKUP(AC2,'JFSQ p70'!6:58,11,FALSE)*1000*2</f>
        <v>224000</v>
      </c>
      <c r="AC25" s="232"/>
      <c r="AD25" s="234"/>
      <c r="AE25" s="239"/>
      <c r="AF25" s="224">
        <v>0</v>
      </c>
      <c r="AG25" s="31"/>
      <c r="AH25" s="104" t="s">
        <v>100</v>
      </c>
      <c r="AL25" s="96" t="s">
        <v>552</v>
      </c>
      <c r="AM25" s="103"/>
      <c r="AN25" s="100">
        <f>IF(AB25+V25=0,"n.a.",AB25+V25)</f>
        <v>224000</v>
      </c>
      <c r="AO25" s="421">
        <f>IF(AN25/AN23=0,"n.a.",AN25/AN23)</f>
        <v>0.05918404229122565</v>
      </c>
    </row>
    <row r="26" spans="3:43" s="108" customFormat="1" ht="28.5" customHeight="1" thickBot="1">
      <c r="C26" s="104" t="s">
        <v>103</v>
      </c>
      <c r="D26" s="109"/>
      <c r="E26" s="110"/>
      <c r="F26" s="111"/>
      <c r="G26" s="112"/>
      <c r="H26" s="207">
        <v>0</v>
      </c>
      <c r="I26" s="207">
        <v>0</v>
      </c>
      <c r="J26" s="207">
        <v>0</v>
      </c>
      <c r="K26" s="207">
        <v>0</v>
      </c>
      <c r="L26" s="241">
        <v>0</v>
      </c>
      <c r="M26" s="241">
        <v>0</v>
      </c>
      <c r="N26" s="241">
        <v>0</v>
      </c>
      <c r="O26" s="241">
        <v>0</v>
      </c>
      <c r="P26" s="262">
        <v>0</v>
      </c>
      <c r="Q26" s="116">
        <v>0</v>
      </c>
      <c r="R26" s="243" t="s">
        <v>104</v>
      </c>
      <c r="S26" s="208">
        <v>0</v>
      </c>
      <c r="T26" s="244">
        <v>0</v>
      </c>
      <c r="U26" s="263">
        <v>0</v>
      </c>
      <c r="V26" s="264">
        <v>0</v>
      </c>
      <c r="W26" s="208">
        <v>0</v>
      </c>
      <c r="X26" s="244">
        <v>0</v>
      </c>
      <c r="Y26" s="122">
        <v>0</v>
      </c>
      <c r="Z26" s="245">
        <v>0</v>
      </c>
      <c r="AA26" s="246">
        <v>0</v>
      </c>
      <c r="AB26" s="247">
        <v>0</v>
      </c>
      <c r="AC26" s="245">
        <v>0</v>
      </c>
      <c r="AD26" s="248">
        <v>0</v>
      </c>
      <c r="AE26" s="246">
        <v>0</v>
      </c>
      <c r="AF26" s="247">
        <v>0</v>
      </c>
      <c r="AG26" s="127"/>
      <c r="AH26" s="104" t="s">
        <v>103</v>
      </c>
      <c r="AJ26" s="1"/>
      <c r="AK26" s="1"/>
      <c r="AL26" s="96" t="s">
        <v>102</v>
      </c>
      <c r="AM26" s="97"/>
      <c r="AN26" s="107">
        <f>AO14/AL9</f>
        <v>0.25715270761279935</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112000</v>
      </c>
      <c r="AC27" s="134"/>
      <c r="AD27" s="5"/>
      <c r="AE27" s="5"/>
      <c r="AF27" s="135"/>
      <c r="AG27" s="31"/>
      <c r="AH27" s="136"/>
      <c r="AL27" s="96" t="s">
        <v>105</v>
      </c>
      <c r="AM27" s="103"/>
      <c r="AN27" s="107">
        <f>((AN23/Assumptions!F20)*Assumptions!F30/1000000)</f>
        <v>0.8112096573333333</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301</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#DIV/0!</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v>1000</v>
      </c>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3.xml><?xml version="1.0" encoding="utf-8"?>
<worksheet xmlns="http://schemas.openxmlformats.org/spreadsheetml/2006/main" xmlns:r="http://schemas.openxmlformats.org/officeDocument/2006/relationships">
  <sheetPr codeName="Tabelle27">
    <tabColor indexed="11"/>
  </sheetPr>
  <dimension ref="C1:AS95"/>
  <sheetViews>
    <sheetView zoomScale="75" zoomScaleNormal="75" zoomScaleSheetLayoutView="100" workbookViewId="0" topLeftCell="AB3">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8.00390625" style="159" customWidth="1"/>
    <col min="10" max="10" width="10.421875" style="159" customWidth="1"/>
    <col min="11" max="11" width="9.28125" style="169" bestFit="1" customWidth="1"/>
    <col min="12" max="12" width="14.140625" style="159" customWidth="1"/>
    <col min="13" max="13" width="8.57421875" style="159" customWidth="1"/>
    <col min="14" max="14" width="10.28125" style="159" customWidth="1"/>
    <col min="15" max="16" width="8.57421875" style="1" customWidth="1"/>
    <col min="17" max="17" width="14.421875" style="1" customWidth="1"/>
    <col min="18" max="18" width="8.57421875" style="1" customWidth="1"/>
    <col min="19" max="19" width="8.00390625" style="1" customWidth="1"/>
    <col min="20" max="20" width="15.00390625" style="1" customWidth="1"/>
    <col min="21" max="21" width="8.421875" style="1" customWidth="1"/>
    <col min="22" max="22" width="15.57421875" style="1" customWidth="1"/>
    <col min="23" max="23" width="7.28125" style="1" customWidth="1"/>
    <col min="24" max="24" width="11.8515625" style="1" customWidth="1"/>
    <col min="25" max="25" width="12.28125" style="1" customWidth="1"/>
    <col min="26" max="26" width="9.57421875" style="1" customWidth="1"/>
    <col min="27" max="27" width="13.7109375" style="1" customWidth="1"/>
    <col min="28" max="28" width="13.140625" style="1" customWidth="1"/>
    <col min="29" max="29" width="13.8515625" style="1" customWidth="1"/>
    <col min="30" max="30" width="10.28125" style="1" bestFit="1" customWidth="1"/>
    <col min="31" max="31" width="8.140625" style="1" customWidth="1"/>
    <col min="32" max="32" width="13.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199</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United Kingdom</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60609153</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0.025773334928471944</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418" t="s">
        <v>119</v>
      </c>
      <c r="H13" s="251">
        <v>8270000</v>
      </c>
      <c r="I13" s="251">
        <v>654000</v>
      </c>
      <c r="J13" s="251">
        <v>713000</v>
      </c>
      <c r="K13" s="252">
        <v>8211000</v>
      </c>
      <c r="L13" s="185">
        <v>5250000</v>
      </c>
      <c r="M13" s="186">
        <v>1483000</v>
      </c>
      <c r="N13" s="186">
        <v>678000</v>
      </c>
      <c r="O13" s="187">
        <v>466000</v>
      </c>
      <c r="P13" s="253">
        <v>0</v>
      </c>
      <c r="Q13" s="187">
        <v>0</v>
      </c>
      <c r="R13" s="186">
        <v>0</v>
      </c>
      <c r="S13" s="229">
        <v>0</v>
      </c>
      <c r="T13" s="229">
        <v>0</v>
      </c>
      <c r="U13" s="229">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102" t="s">
        <v>119</v>
      </c>
      <c r="H14" s="251">
        <v>318000</v>
      </c>
      <c r="I14" s="251">
        <v>4000</v>
      </c>
      <c r="J14" s="251">
        <v>195000</v>
      </c>
      <c r="K14" s="255">
        <v>127000</v>
      </c>
      <c r="L14" s="220">
        <v>0</v>
      </c>
      <c r="M14" s="221">
        <v>0</v>
      </c>
      <c r="N14" s="221">
        <v>0</v>
      </c>
      <c r="O14" s="222">
        <v>0</v>
      </c>
      <c r="P14" s="256">
        <v>0</v>
      </c>
      <c r="Q14" s="192">
        <v>39000</v>
      </c>
      <c r="R14" s="192">
        <v>0</v>
      </c>
      <c r="S14" s="229">
        <v>0</v>
      </c>
      <c r="T14" s="229">
        <v>0</v>
      </c>
      <c r="U14" s="229">
        <v>0</v>
      </c>
      <c r="V14" s="520">
        <v>0</v>
      </c>
      <c r="W14" s="193">
        <v>0</v>
      </c>
      <c r="X14" s="193">
        <v>0</v>
      </c>
      <c r="Y14" s="224">
        <v>0</v>
      </c>
      <c r="Z14" s="225">
        <v>0</v>
      </c>
      <c r="AA14" s="196">
        <v>0</v>
      </c>
      <c r="AB14" s="522">
        <v>0</v>
      </c>
      <c r="AC14" s="192">
        <v>0</v>
      </c>
      <c r="AD14" s="192">
        <v>0</v>
      </c>
      <c r="AE14" s="194">
        <v>0</v>
      </c>
      <c r="AF14" s="522">
        <f>127000-Q14</f>
        <v>88000</v>
      </c>
      <c r="AG14" s="31"/>
      <c r="AH14" s="60" t="s">
        <v>71</v>
      </c>
      <c r="AK14" s="63" t="s">
        <v>73</v>
      </c>
      <c r="AL14" s="64">
        <f>IF(V13+V14+V15+V16+V17+(V20*Assumptions!F20)=0,"n.a.",V13+V14+V15+V16+V17+(V20*Assumptions!F20))</f>
        <v>257500</v>
      </c>
      <c r="AM14" s="64">
        <f>IF(AB14+AB15+AB16+AB17+(AB20*Assumptions!F20)=0,"n.a.",AB14+AB15+AB16+AB17+(AB20*Assumptions!F20))</f>
        <v>234600</v>
      </c>
      <c r="AN14" s="65">
        <f>IF(AF14+AF15+AF16+AF17+(AF20*Assumptions!F20)=0,"n.a.",AF14+AF15+AF16+AF17+(AF20*Assumptions!F20))</f>
        <v>88000</v>
      </c>
      <c r="AO14" s="66">
        <f>SUM(AL14:AN14)</f>
        <v>580100</v>
      </c>
      <c r="AP14" s="67">
        <f>AO14/$AO$19</f>
        <v>0.3713590679213879</v>
      </c>
      <c r="AQ14" s="57"/>
    </row>
    <row r="15" spans="3:43" ht="38.25" customHeight="1" thickBot="1">
      <c r="C15" s="51" t="s">
        <v>74</v>
      </c>
      <c r="D15" s="5"/>
      <c r="E15" s="1391"/>
      <c r="F15" s="61" t="s">
        <v>75</v>
      </c>
      <c r="G15" s="102" t="s">
        <v>119</v>
      </c>
      <c r="H15" s="257">
        <v>0</v>
      </c>
      <c r="I15" s="257">
        <v>0</v>
      </c>
      <c r="J15" s="257">
        <v>0</v>
      </c>
      <c r="K15" s="255">
        <v>0</v>
      </c>
      <c r="L15" s="220">
        <v>0</v>
      </c>
      <c r="M15" s="197">
        <v>0</v>
      </c>
      <c r="N15" s="197">
        <v>0</v>
      </c>
      <c r="O15" s="197">
        <v>0</v>
      </c>
      <c r="P15" s="192">
        <v>0</v>
      </c>
      <c r="Q15" s="192">
        <v>0</v>
      </c>
      <c r="R15" s="192">
        <v>0</v>
      </c>
      <c r="S15" s="229">
        <v>0</v>
      </c>
      <c r="T15" s="229">
        <v>0</v>
      </c>
      <c r="U15" s="229">
        <v>0</v>
      </c>
      <c r="V15" s="520">
        <v>0</v>
      </c>
      <c r="W15" s="193">
        <v>0</v>
      </c>
      <c r="X15" s="193">
        <v>0</v>
      </c>
      <c r="Y15" s="224">
        <v>0</v>
      </c>
      <c r="Z15" s="225">
        <v>0</v>
      </c>
      <c r="AA15" s="196">
        <v>0</v>
      </c>
      <c r="AB15" s="522">
        <v>0</v>
      </c>
      <c r="AC15" s="192">
        <v>0</v>
      </c>
      <c r="AD15" s="192">
        <v>0</v>
      </c>
      <c r="AE15" s="194">
        <v>0</v>
      </c>
      <c r="AF15" s="522">
        <v>0</v>
      </c>
      <c r="AG15" s="31"/>
      <c r="AH15" s="51" t="s">
        <v>74</v>
      </c>
      <c r="AK15" s="63" t="s">
        <v>76</v>
      </c>
      <c r="AL15" s="68" t="str">
        <f>IF(V18+V19+(V23*Assumptions!F9)+(V24*Assumptions!F6)+(V22*Assumptions!F16)+V25=0,"n.a.",V18+V19+(V23*Assumptions!F9)+(V24*Assumptions!F6)+(V22*Assumptions!F16)+V25)</f>
        <v>n.a.</v>
      </c>
      <c r="AM15" s="68" t="str">
        <f>IF(AB18+AB19+(AB23*Assumptions!F9)+(AB24*Assumptions!F6)+(AB25)+(AB22*Assumptions!F16)=0,"n.a.",AB18+AB19+(AB23*Assumptions!F9)+(AB24*Assumptions!F6)+(AB25)+(AB22*Assumptions!F16))</f>
        <v>n.a.</v>
      </c>
      <c r="AN15" s="69">
        <f>IF(AF18+AF19+(AF23*Assumptions!F9)+(AF24*Assumptions!F6)+(AF22*Assumptions!F16)=0,"n.a.",AF18+AF19+(AF23*Assumptions!F9)+(AF24*Assumptions!F6)+(AF22*Assumptions!F16))</f>
        <v>532000</v>
      </c>
      <c r="AO15" s="66">
        <f>SUM(AL15:AN15)</f>
        <v>532000</v>
      </c>
      <c r="AP15" s="67">
        <f>AO15/$AO$19</f>
        <v>0.34056718519941104</v>
      </c>
      <c r="AQ15" s="57"/>
    </row>
    <row r="16" spans="3:43" ht="38.25" customHeight="1" thickBot="1">
      <c r="C16" s="60" t="s">
        <v>77</v>
      </c>
      <c r="D16" s="5"/>
      <c r="E16" s="1391"/>
      <c r="F16" s="61" t="s">
        <v>78</v>
      </c>
      <c r="G16" s="102" t="s">
        <v>119</v>
      </c>
      <c r="H16" s="251" t="s">
        <v>266</v>
      </c>
      <c r="I16" s="251">
        <v>0</v>
      </c>
      <c r="J16" s="251">
        <v>0</v>
      </c>
      <c r="K16" s="255"/>
      <c r="L16" s="220">
        <v>0</v>
      </c>
      <c r="M16" s="197">
        <v>0</v>
      </c>
      <c r="N16" s="197">
        <v>0</v>
      </c>
      <c r="O16" s="197">
        <v>0</v>
      </c>
      <c r="P16" s="192">
        <v>0</v>
      </c>
      <c r="Q16" s="192">
        <v>0</v>
      </c>
      <c r="R16" s="192">
        <v>0</v>
      </c>
      <c r="S16" s="229">
        <v>0</v>
      </c>
      <c r="T16" s="229">
        <v>0</v>
      </c>
      <c r="U16" s="229">
        <v>0</v>
      </c>
      <c r="V16" s="520">
        <v>0</v>
      </c>
      <c r="W16" s="193">
        <v>0</v>
      </c>
      <c r="X16" s="193">
        <v>0</v>
      </c>
      <c r="Y16" s="224">
        <v>0</v>
      </c>
      <c r="Z16" s="225">
        <v>0</v>
      </c>
      <c r="AA16" s="196">
        <v>0</v>
      </c>
      <c r="AB16" s="522">
        <v>0</v>
      </c>
      <c r="AC16" s="192">
        <v>0</v>
      </c>
      <c r="AD16" s="192">
        <v>0</v>
      </c>
      <c r="AE16" s="194">
        <v>0</v>
      </c>
      <c r="AF16" s="522">
        <v>0</v>
      </c>
      <c r="AG16" s="31"/>
      <c r="AH16" s="60" t="s">
        <v>77</v>
      </c>
      <c r="AK16" s="430" t="s">
        <v>79</v>
      </c>
      <c r="AL16" s="70">
        <f>IF(V21*Assumptions!F20=0,"n.a.",V21*Assumptions!F20)</f>
        <v>450000</v>
      </c>
      <c r="AM16" s="70" t="str">
        <f>IF(AB21*Assumptions!F20=0,"n.a.",AB21*Assumptions!F20)</f>
        <v>n.a.</v>
      </c>
      <c r="AN16" s="71" t="str">
        <f>IF(AF21*Assumptions!F20=0,"n.a.",AF21*Assumptions!F20)</f>
        <v>n.a.</v>
      </c>
      <c r="AO16" s="72">
        <f>SUM(AL16:AN16)</f>
        <v>450000</v>
      </c>
      <c r="AP16" s="67">
        <f>AO16/$AO$19</f>
        <v>0.28807374687920106</v>
      </c>
      <c r="AQ16" s="73"/>
    </row>
    <row r="17" spans="3:43" ht="38.25" customHeight="1" thickBot="1" thickTop="1">
      <c r="C17" s="51" t="s">
        <v>80</v>
      </c>
      <c r="D17" s="5"/>
      <c r="E17" s="1391"/>
      <c r="F17" s="61" t="s">
        <v>81</v>
      </c>
      <c r="G17" s="102" t="s">
        <v>119</v>
      </c>
      <c r="H17" s="258" t="s">
        <v>266</v>
      </c>
      <c r="I17" s="258">
        <v>0</v>
      </c>
      <c r="J17" s="258">
        <v>0</v>
      </c>
      <c r="K17" s="255"/>
      <c r="L17" s="220">
        <v>0</v>
      </c>
      <c r="M17" s="197">
        <v>0</v>
      </c>
      <c r="N17" s="197">
        <v>0</v>
      </c>
      <c r="O17" s="197">
        <v>0</v>
      </c>
      <c r="P17" s="192">
        <v>0</v>
      </c>
      <c r="Q17" s="192">
        <v>0</v>
      </c>
      <c r="R17" s="192">
        <v>0</v>
      </c>
      <c r="S17" s="229">
        <v>0</v>
      </c>
      <c r="T17" s="229">
        <v>257500</v>
      </c>
      <c r="U17" s="229">
        <v>0</v>
      </c>
      <c r="V17" s="520">
        <v>257500</v>
      </c>
      <c r="W17" s="193">
        <v>0</v>
      </c>
      <c r="X17" s="193">
        <v>247100</v>
      </c>
      <c r="Y17" s="224">
        <v>21200</v>
      </c>
      <c r="Z17" s="225">
        <v>0</v>
      </c>
      <c r="AA17" s="196">
        <v>234600</v>
      </c>
      <c r="AB17" s="522">
        <v>234600</v>
      </c>
      <c r="AC17" s="192">
        <v>0</v>
      </c>
      <c r="AD17" s="192">
        <v>0</v>
      </c>
      <c r="AE17" s="194">
        <v>0</v>
      </c>
      <c r="AF17" s="522">
        <v>0</v>
      </c>
      <c r="AG17" s="31"/>
      <c r="AH17" s="51" t="s">
        <v>80</v>
      </c>
      <c r="AK17" s="431" t="s">
        <v>354</v>
      </c>
      <c r="AL17" s="74">
        <f>SUM(AL14:AL16)</f>
        <v>707500</v>
      </c>
      <c r="AM17" s="75">
        <f>SUM(AM14:AM16)</f>
        <v>234600</v>
      </c>
      <c r="AN17" s="75">
        <f>SUM(AN14:AN16)</f>
        <v>620000</v>
      </c>
      <c r="AO17" s="1443"/>
      <c r="AP17" s="1444"/>
      <c r="AQ17" s="76">
        <f>SUM(AL17:AN17)</f>
        <v>1562100</v>
      </c>
    </row>
    <row r="18" spans="3:43" ht="38.25" customHeight="1" thickBot="1" thickTop="1">
      <c r="C18" s="60" t="s">
        <v>82</v>
      </c>
      <c r="D18" s="5"/>
      <c r="E18" s="1391"/>
      <c r="F18" s="61" t="s">
        <v>83</v>
      </c>
      <c r="G18" s="102" t="s">
        <v>119</v>
      </c>
      <c r="H18" s="251">
        <v>2192000</v>
      </c>
      <c r="I18" s="251">
        <v>550000</v>
      </c>
      <c r="J18" s="251">
        <v>141000</v>
      </c>
      <c r="K18" s="255">
        <v>2601000</v>
      </c>
      <c r="L18" s="220">
        <v>0</v>
      </c>
      <c r="M18" s="197">
        <v>1703000</v>
      </c>
      <c r="N18" s="197">
        <v>136000</v>
      </c>
      <c r="O18" s="199">
        <v>0</v>
      </c>
      <c r="P18" s="192">
        <v>0</v>
      </c>
      <c r="Q18" s="192">
        <v>0</v>
      </c>
      <c r="R18" s="192">
        <v>0</v>
      </c>
      <c r="S18" s="193">
        <v>0</v>
      </c>
      <c r="T18" s="229">
        <v>0</v>
      </c>
      <c r="U18" s="229">
        <v>0</v>
      </c>
      <c r="V18" s="526">
        <v>0</v>
      </c>
      <c r="W18" s="193">
        <v>0</v>
      </c>
      <c r="X18" s="193">
        <v>0</v>
      </c>
      <c r="Y18" s="224">
        <v>0</v>
      </c>
      <c r="Z18" s="225">
        <v>0</v>
      </c>
      <c r="AA18" s="196">
        <v>0</v>
      </c>
      <c r="AB18" s="528">
        <v>0</v>
      </c>
      <c r="AC18" s="192">
        <v>0</v>
      </c>
      <c r="AD18" s="192">
        <v>0</v>
      </c>
      <c r="AE18" s="194">
        <v>0</v>
      </c>
      <c r="AF18" s="528">
        <v>0</v>
      </c>
      <c r="AG18" s="31"/>
      <c r="AH18" s="60" t="s">
        <v>82</v>
      </c>
      <c r="AK18" s="431" t="s">
        <v>70</v>
      </c>
      <c r="AL18" s="78">
        <f>AL17/$AQ$17</f>
        <v>0.4529159464822995</v>
      </c>
      <c r="AM18" s="78">
        <f>AM17/$AQ$17</f>
        <v>0.15018244670635683</v>
      </c>
      <c r="AN18" s="78">
        <f>AN17/$AQ$17</f>
        <v>0.3969016068113437</v>
      </c>
      <c r="AO18" s="1445"/>
      <c r="AP18" s="1446"/>
      <c r="AQ18" s="57"/>
    </row>
    <row r="19" spans="3:43" ht="38.25" customHeight="1" thickBot="1">
      <c r="C19" s="51" t="s">
        <v>84</v>
      </c>
      <c r="D19" s="5"/>
      <c r="E19" s="1391"/>
      <c r="F19" s="61" t="s">
        <v>409</v>
      </c>
      <c r="G19" s="102" t="s">
        <v>119</v>
      </c>
      <c r="H19" s="251" t="s">
        <v>267</v>
      </c>
      <c r="I19" s="251">
        <v>0</v>
      </c>
      <c r="J19" s="251">
        <v>0</v>
      </c>
      <c r="K19" s="255" t="e">
        <v>#VALUE!</v>
      </c>
      <c r="L19" s="220">
        <v>0</v>
      </c>
      <c r="M19" s="197">
        <v>0</v>
      </c>
      <c r="N19" s="197">
        <v>0</v>
      </c>
      <c r="O19" s="199">
        <v>0</v>
      </c>
      <c r="P19" s="192">
        <v>0</v>
      </c>
      <c r="Q19" s="192">
        <v>0</v>
      </c>
      <c r="R19" s="192">
        <v>0</v>
      </c>
      <c r="S19" s="229">
        <v>0</v>
      </c>
      <c r="T19" s="229">
        <v>0</v>
      </c>
      <c r="U19" s="229">
        <v>0</v>
      </c>
      <c r="V19" s="526">
        <v>0</v>
      </c>
      <c r="W19" s="193">
        <v>0</v>
      </c>
      <c r="X19" s="193">
        <v>0</v>
      </c>
      <c r="Y19" s="224">
        <v>0</v>
      </c>
      <c r="Z19" s="225">
        <v>0</v>
      </c>
      <c r="AA19" s="196">
        <v>0</v>
      </c>
      <c r="AB19" s="528">
        <v>0</v>
      </c>
      <c r="AC19" s="192">
        <v>0</v>
      </c>
      <c r="AD19" s="192">
        <v>0</v>
      </c>
      <c r="AE19" s="194">
        <v>0</v>
      </c>
      <c r="AF19" s="528">
        <v>0</v>
      </c>
      <c r="AG19" s="31"/>
      <c r="AH19" s="51" t="s">
        <v>84</v>
      </c>
      <c r="AK19" s="1447"/>
      <c r="AL19" s="1447"/>
      <c r="AM19" s="1447"/>
      <c r="AN19" s="1448"/>
      <c r="AO19" s="79">
        <f>SUM(AO14:AO16)</f>
        <v>1562100</v>
      </c>
      <c r="AP19" s="1449"/>
      <c r="AQ19" s="1447"/>
    </row>
    <row r="20" spans="3:43" ht="28.5" customHeight="1" thickBot="1">
      <c r="C20" s="60" t="s">
        <v>85</v>
      </c>
      <c r="D20" s="5"/>
      <c r="E20" s="1391"/>
      <c r="F20" s="61" t="s">
        <v>86</v>
      </c>
      <c r="G20" s="102" t="s">
        <v>87</v>
      </c>
      <c r="H20" s="159">
        <v>313000</v>
      </c>
      <c r="I20" s="251">
        <v>0</v>
      </c>
      <c r="J20" s="251">
        <v>0</v>
      </c>
      <c r="K20" s="251" t="s">
        <v>266</v>
      </c>
      <c r="L20" s="220">
        <v>0</v>
      </c>
      <c r="M20" s="197">
        <v>0</v>
      </c>
      <c r="N20" s="197">
        <v>0</v>
      </c>
      <c r="O20" s="197">
        <v>0</v>
      </c>
      <c r="P20" s="192">
        <v>0</v>
      </c>
      <c r="Q20" s="192">
        <v>0</v>
      </c>
      <c r="R20" s="192">
        <v>0</v>
      </c>
      <c r="S20" s="229">
        <v>0</v>
      </c>
      <c r="T20" s="229">
        <v>0</v>
      </c>
      <c r="U20" s="229">
        <v>0</v>
      </c>
      <c r="V20" s="520">
        <v>0</v>
      </c>
      <c r="W20" s="226">
        <v>0</v>
      </c>
      <c r="X20" s="226">
        <v>0</v>
      </c>
      <c r="Y20" s="224">
        <v>0</v>
      </c>
      <c r="Z20" s="200">
        <v>0</v>
      </c>
      <c r="AA20" s="201">
        <v>0</v>
      </c>
      <c r="AB20" s="522">
        <v>0</v>
      </c>
      <c r="AC20" s="227">
        <v>0</v>
      </c>
      <c r="AD20" s="227">
        <v>0</v>
      </c>
      <c r="AE20" s="201">
        <v>0</v>
      </c>
      <c r="AF20" s="522">
        <v>0</v>
      </c>
      <c r="AG20" s="31"/>
      <c r="AH20" s="60" t="s">
        <v>85</v>
      </c>
      <c r="AK20" s="57"/>
      <c r="AL20" s="545"/>
      <c r="AM20" s="57"/>
      <c r="AN20" s="57"/>
      <c r="AO20" s="82"/>
      <c r="AP20" s="81"/>
      <c r="AQ20" s="57"/>
    </row>
    <row r="21" spans="3:43" ht="28.5" customHeight="1" thickBot="1">
      <c r="C21" s="51" t="s">
        <v>88</v>
      </c>
      <c r="D21" s="5"/>
      <c r="E21" s="1391"/>
      <c r="F21" s="83" t="s">
        <v>89</v>
      </c>
      <c r="G21" s="419" t="s">
        <v>87</v>
      </c>
      <c r="H21" s="251">
        <v>5536000</v>
      </c>
      <c r="I21" s="251">
        <v>0</v>
      </c>
      <c r="J21" s="251">
        <v>0</v>
      </c>
      <c r="K21" s="255">
        <f>0+H21+I21-J21</f>
        <v>5536000</v>
      </c>
      <c r="L21" s="220">
        <v>0</v>
      </c>
      <c r="M21" s="229">
        <v>1043000</v>
      </c>
      <c r="N21" s="229">
        <v>0</v>
      </c>
      <c r="O21" s="230">
        <v>0</v>
      </c>
      <c r="P21" s="192">
        <v>0</v>
      </c>
      <c r="Q21" s="192">
        <v>0</v>
      </c>
      <c r="R21" s="192">
        <v>0</v>
      </c>
      <c r="S21" s="229">
        <v>0</v>
      </c>
      <c r="T21" s="229">
        <v>0</v>
      </c>
      <c r="U21" s="229">
        <v>0</v>
      </c>
      <c r="V21" s="516">
        <v>300000</v>
      </c>
      <c r="W21" s="193">
        <v>0</v>
      </c>
      <c r="X21" s="193">
        <v>0</v>
      </c>
      <c r="Y21" s="224">
        <v>0</v>
      </c>
      <c r="Z21" s="225">
        <v>0</v>
      </c>
      <c r="AA21" s="196">
        <v>0</v>
      </c>
      <c r="AB21" s="532">
        <v>0</v>
      </c>
      <c r="AC21" s="192">
        <v>0</v>
      </c>
      <c r="AD21" s="192">
        <v>0</v>
      </c>
      <c r="AE21" s="194">
        <v>0</v>
      </c>
      <c r="AF21" s="532">
        <v>0</v>
      </c>
      <c r="AG21" s="31"/>
      <c r="AH21" s="51" t="s">
        <v>88</v>
      </c>
      <c r="AK21" s="57"/>
      <c r="AL21" s="57"/>
      <c r="AM21" s="57"/>
      <c r="AN21" s="538" t="s">
        <v>47</v>
      </c>
      <c r="AO21" s="539" t="s">
        <v>70</v>
      </c>
      <c r="AP21" s="81"/>
      <c r="AQ21" s="57"/>
    </row>
    <row r="22" spans="3:43" ht="28.5" customHeight="1" thickBot="1">
      <c r="C22" s="60" t="s">
        <v>90</v>
      </c>
      <c r="D22" s="5"/>
      <c r="E22" s="1391"/>
      <c r="F22" s="61" t="s">
        <v>91</v>
      </c>
      <c r="G22" s="102" t="s">
        <v>120</v>
      </c>
      <c r="H22" s="251" t="s">
        <v>267</v>
      </c>
      <c r="I22" s="251">
        <v>0</v>
      </c>
      <c r="J22" s="251">
        <v>0</v>
      </c>
      <c r="K22" s="255" t="e">
        <v>#VALUE!</v>
      </c>
      <c r="L22" s="220">
        <v>0</v>
      </c>
      <c r="M22" s="197">
        <v>0</v>
      </c>
      <c r="N22" s="221">
        <v>0</v>
      </c>
      <c r="O22" s="199">
        <v>0</v>
      </c>
      <c r="P22" s="192">
        <v>0</v>
      </c>
      <c r="Q22" s="221">
        <v>0</v>
      </c>
      <c r="R22" s="192">
        <v>0</v>
      </c>
      <c r="S22" s="229">
        <v>0</v>
      </c>
      <c r="T22" s="229">
        <v>0</v>
      </c>
      <c r="U22" s="229">
        <v>0</v>
      </c>
      <c r="V22" s="526">
        <v>0</v>
      </c>
      <c r="W22" s="193">
        <v>0</v>
      </c>
      <c r="X22" s="193">
        <v>0</v>
      </c>
      <c r="Y22" s="224">
        <v>0</v>
      </c>
      <c r="Z22" s="225">
        <v>0</v>
      </c>
      <c r="AA22" s="196">
        <v>0</v>
      </c>
      <c r="AB22" s="528">
        <v>0</v>
      </c>
      <c r="AC22" s="192">
        <v>0</v>
      </c>
      <c r="AD22" s="192">
        <v>0</v>
      </c>
      <c r="AE22" s="194">
        <v>0</v>
      </c>
      <c r="AF22" s="528">
        <v>0</v>
      </c>
      <c r="AG22" s="31"/>
      <c r="AH22" s="60" t="s">
        <v>90</v>
      </c>
      <c r="AK22" s="57"/>
      <c r="AL22" s="96" t="s">
        <v>349</v>
      </c>
      <c r="AM22" s="97"/>
      <c r="AN22" s="98">
        <f>(K13+K14)</f>
        <v>8338000</v>
      </c>
      <c r="AO22" s="99">
        <v>1</v>
      </c>
      <c r="AP22" s="81"/>
      <c r="AQ22" s="57"/>
    </row>
    <row r="23" spans="3:41" ht="28.5" customHeight="1" thickBot="1">
      <c r="C23" s="51" t="s">
        <v>94</v>
      </c>
      <c r="D23" s="5"/>
      <c r="E23" s="1391"/>
      <c r="F23" s="61" t="s">
        <v>95</v>
      </c>
      <c r="G23" s="102" t="s">
        <v>99</v>
      </c>
      <c r="H23" s="251">
        <v>5000</v>
      </c>
      <c r="I23" s="251">
        <v>53000</v>
      </c>
      <c r="J23" s="251">
        <v>6000</v>
      </c>
      <c r="K23" s="255">
        <v>52000</v>
      </c>
      <c r="L23" s="220">
        <v>0</v>
      </c>
      <c r="M23" s="221">
        <v>0</v>
      </c>
      <c r="N23" s="221">
        <v>0</v>
      </c>
      <c r="O23" s="221">
        <v>0</v>
      </c>
      <c r="P23" s="221">
        <v>0</v>
      </c>
      <c r="Q23" s="221">
        <v>0</v>
      </c>
      <c r="R23" s="222">
        <v>0</v>
      </c>
      <c r="S23" s="229">
        <v>0</v>
      </c>
      <c r="T23" s="229">
        <v>0</v>
      </c>
      <c r="U23" s="229">
        <v>0</v>
      </c>
      <c r="V23" s="526">
        <v>0</v>
      </c>
      <c r="W23" s="193">
        <v>0</v>
      </c>
      <c r="X23" s="193">
        <v>0</v>
      </c>
      <c r="Y23" s="224">
        <v>0</v>
      </c>
      <c r="Z23" s="225">
        <v>0</v>
      </c>
      <c r="AA23" s="196">
        <v>0</v>
      </c>
      <c r="AB23" s="528">
        <v>0</v>
      </c>
      <c r="AC23" s="192">
        <v>0</v>
      </c>
      <c r="AD23" s="192">
        <v>0</v>
      </c>
      <c r="AE23" s="194">
        <v>0</v>
      </c>
      <c r="AF23" s="528">
        <v>52000</v>
      </c>
      <c r="AG23" s="31"/>
      <c r="AH23" s="51" t="s">
        <v>94</v>
      </c>
      <c r="AL23" s="96" t="s">
        <v>93</v>
      </c>
      <c r="AM23" s="97"/>
      <c r="AN23" s="100">
        <f>AQ17</f>
        <v>1562100</v>
      </c>
      <c r="AO23" s="101">
        <f>AN23/AN22</f>
        <v>0.18734708563204605</v>
      </c>
    </row>
    <row r="24" spans="3:41" ht="28.5" customHeight="1" thickBot="1">
      <c r="C24" s="60" t="s">
        <v>97</v>
      </c>
      <c r="D24" s="5"/>
      <c r="E24" s="1391"/>
      <c r="F24" s="61" t="s">
        <v>98</v>
      </c>
      <c r="G24" s="102" t="s">
        <v>99</v>
      </c>
      <c r="H24" s="251">
        <v>110000</v>
      </c>
      <c r="I24" s="251">
        <v>0</v>
      </c>
      <c r="J24" s="251">
        <v>0</v>
      </c>
      <c r="K24" s="255">
        <f>H24+I24-J24</f>
        <v>110000</v>
      </c>
      <c r="L24" s="220">
        <v>0</v>
      </c>
      <c r="M24" s="221">
        <v>0</v>
      </c>
      <c r="N24" s="221">
        <v>0</v>
      </c>
      <c r="O24" s="221">
        <v>0</v>
      </c>
      <c r="P24" s="221">
        <v>0</v>
      </c>
      <c r="Q24" s="221">
        <v>0</v>
      </c>
      <c r="R24" s="222">
        <v>0</v>
      </c>
      <c r="S24" s="229">
        <v>0</v>
      </c>
      <c r="T24" s="229">
        <v>0</v>
      </c>
      <c r="U24" s="229">
        <v>0</v>
      </c>
      <c r="V24" s="526">
        <v>0</v>
      </c>
      <c r="W24" s="193">
        <v>0</v>
      </c>
      <c r="X24" s="193">
        <v>0</v>
      </c>
      <c r="Y24" s="224">
        <v>0</v>
      </c>
      <c r="Z24" s="225">
        <v>0</v>
      </c>
      <c r="AA24" s="196">
        <v>0</v>
      </c>
      <c r="AB24" s="528">
        <v>0</v>
      </c>
      <c r="AC24" s="192">
        <v>0</v>
      </c>
      <c r="AD24" s="192">
        <v>0</v>
      </c>
      <c r="AE24" s="194">
        <v>0</v>
      </c>
      <c r="AF24" s="528">
        <v>110000</v>
      </c>
      <c r="AG24" s="31"/>
      <c r="AH24" s="60" t="s">
        <v>97</v>
      </c>
      <c r="AL24" s="96" t="s">
        <v>551</v>
      </c>
      <c r="AM24" s="97"/>
      <c r="AN24" s="98"/>
      <c r="AO24" s="99">
        <f>AO14/AN23</f>
        <v>0.3713590679213879</v>
      </c>
    </row>
    <row r="25" spans="3:41" ht="28.5" customHeight="1" thickBot="1">
      <c r="C25" s="104" t="s">
        <v>100</v>
      </c>
      <c r="D25" s="5"/>
      <c r="E25" s="1392"/>
      <c r="F25" s="105" t="s">
        <v>101</v>
      </c>
      <c r="G25" s="420"/>
      <c r="H25" s="259">
        <v>0</v>
      </c>
      <c r="I25" s="259">
        <v>0</v>
      </c>
      <c r="J25" s="260">
        <v>0</v>
      </c>
      <c r="K25" s="261">
        <v>0</v>
      </c>
      <c r="L25" s="232">
        <v>0</v>
      </c>
      <c r="M25" s="234">
        <v>0</v>
      </c>
      <c r="N25" s="234">
        <v>0</v>
      </c>
      <c r="O25" s="234">
        <v>0</v>
      </c>
      <c r="P25" s="234">
        <v>0</v>
      </c>
      <c r="Q25" s="234">
        <v>0</v>
      </c>
      <c r="R25" s="233">
        <v>0</v>
      </c>
      <c r="S25" s="232">
        <v>0</v>
      </c>
      <c r="T25" s="234">
        <v>0</v>
      </c>
      <c r="U25" s="233">
        <v>0</v>
      </c>
      <c r="V25" s="526">
        <v>0</v>
      </c>
      <c r="W25" s="235">
        <v>0</v>
      </c>
      <c r="X25" s="236">
        <v>0</v>
      </c>
      <c r="Y25" s="224">
        <v>0</v>
      </c>
      <c r="Z25" s="237">
        <v>0</v>
      </c>
      <c r="AA25" s="238">
        <v>0</v>
      </c>
      <c r="AB25" s="528">
        <v>0</v>
      </c>
      <c r="AC25" s="232">
        <v>0</v>
      </c>
      <c r="AD25" s="234">
        <v>0</v>
      </c>
      <c r="AE25" s="239">
        <v>0</v>
      </c>
      <c r="AF25" s="224">
        <v>0</v>
      </c>
      <c r="AG25" s="31"/>
      <c r="AH25" s="104" t="s">
        <v>100</v>
      </c>
      <c r="AL25" s="96" t="s">
        <v>552</v>
      </c>
      <c r="AM25" s="103"/>
      <c r="AN25" s="100" t="str">
        <f>IF(AB25+V25=0,"n.a.",AB25+V25)</f>
        <v>n.a.</v>
      </c>
      <c r="AO25" s="421"/>
    </row>
    <row r="26" spans="3:43" s="108" customFormat="1" ht="28.5" customHeight="1" thickBot="1">
      <c r="C26" s="104" t="s">
        <v>103</v>
      </c>
      <c r="D26" s="109"/>
      <c r="E26" s="110"/>
      <c r="F26" s="111"/>
      <c r="G26" s="112"/>
      <c r="H26" s="207">
        <v>0</v>
      </c>
      <c r="I26" s="207">
        <v>0</v>
      </c>
      <c r="J26" s="207">
        <v>1000000</v>
      </c>
      <c r="K26" s="207">
        <v>0</v>
      </c>
      <c r="L26" s="241">
        <v>0</v>
      </c>
      <c r="M26" s="241">
        <v>0</v>
      </c>
      <c r="N26" s="241">
        <v>0</v>
      </c>
      <c r="O26" s="241">
        <v>1000</v>
      </c>
      <c r="P26" s="262">
        <v>0</v>
      </c>
      <c r="Q26" s="116">
        <v>1397200000</v>
      </c>
      <c r="R26" s="243" t="s">
        <v>104</v>
      </c>
      <c r="S26" s="208">
        <v>0</v>
      </c>
      <c r="T26" s="244">
        <v>257500</v>
      </c>
      <c r="U26" s="263">
        <v>0</v>
      </c>
      <c r="V26" s="264">
        <v>257500</v>
      </c>
      <c r="W26" s="208">
        <v>0</v>
      </c>
      <c r="X26" s="244">
        <v>247100</v>
      </c>
      <c r="Y26" s="122">
        <v>21200</v>
      </c>
      <c r="Z26" s="245">
        <v>0</v>
      </c>
      <c r="AA26" s="246">
        <v>491400</v>
      </c>
      <c r="AB26" s="247">
        <v>491400</v>
      </c>
      <c r="AC26" s="245">
        <v>648300</v>
      </c>
      <c r="AD26" s="248">
        <v>0</v>
      </c>
      <c r="AE26" s="246">
        <v>0</v>
      </c>
      <c r="AF26" s="247">
        <v>1139700</v>
      </c>
      <c r="AG26" s="127"/>
      <c r="AH26" s="104" t="s">
        <v>103</v>
      </c>
      <c r="AJ26" s="1"/>
      <c r="AK26" s="1"/>
      <c r="AL26" s="96" t="s">
        <v>102</v>
      </c>
      <c r="AM26" s="97"/>
      <c r="AN26" s="107">
        <f>AO14/AL9</f>
        <v>0.00957116163626309</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t="e">
        <f>VLOOKUP(AC2,'JFSQ p70'!6:58,11,FALSE)*1000</f>
        <v>#VALUE!</v>
      </c>
      <c r="AC27" s="134"/>
      <c r="AD27" s="5"/>
      <c r="AE27" s="5"/>
      <c r="AF27" s="135"/>
      <c r="AG27" s="31"/>
      <c r="AH27" s="136"/>
      <c r="AL27" s="96" t="s">
        <v>105</v>
      </c>
      <c r="AM27" s="103"/>
      <c r="AN27" s="107">
        <f>((AN23/Assumptions!F20)*Assumptions!F30/1000000)</f>
        <v>0.33481010000000005</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356</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v>428852</v>
      </c>
      <c r="U31" s="5"/>
      <c r="V31" s="5" t="e">
        <f>AL15+(V18/Y18*Y25)</f>
        <v>#VALUE!</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152"/>
    </row>
    <row r="39" spans="8:43" ht="18.75">
      <c r="H39" s="158"/>
      <c r="I39" s="158"/>
      <c r="J39" s="158"/>
      <c r="K39" s="161"/>
      <c r="Y39" s="58"/>
      <c r="Z39" s="59"/>
      <c r="AA39" s="59"/>
      <c r="AB39" s="59"/>
      <c r="AC39" s="59"/>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N11:N12"/>
    <mergeCell ref="L9:R10"/>
    <mergeCell ref="P11:R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S9:AD9"/>
    <mergeCell ref="S10:Y10"/>
    <mergeCell ref="AE11:AE12"/>
    <mergeCell ref="AC11:AC12"/>
    <mergeCell ref="S11:V11"/>
    <mergeCell ref="W11:Y11"/>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9:AK9"/>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4.xml><?xml version="1.0" encoding="utf-8"?>
<worksheet xmlns="http://schemas.openxmlformats.org/spreadsheetml/2006/main" xmlns:r="http://schemas.openxmlformats.org/officeDocument/2006/relationships">
  <dimension ref="A3:AP98"/>
  <sheetViews>
    <sheetView workbookViewId="0" topLeftCell="F1">
      <selection activeCell="J23" sqref="J23"/>
    </sheetView>
  </sheetViews>
  <sheetFormatPr defaultColWidth="9.140625" defaultRowHeight="12.75"/>
  <cols>
    <col min="1" max="10" width="11.421875" style="0" customWidth="1"/>
    <col min="11" max="11" width="16.57421875" style="0" customWidth="1"/>
    <col min="12" max="12" width="18.57421875" style="0" customWidth="1"/>
    <col min="13" max="13" width="12.7109375" style="0" bestFit="1" customWidth="1"/>
    <col min="14" max="14" width="15.8515625" style="0" customWidth="1"/>
    <col min="15" max="15" width="14.140625" style="0" customWidth="1"/>
    <col min="16" max="16" width="14.00390625" style="0" customWidth="1"/>
    <col min="17" max="39" width="11.421875" style="0" customWidth="1"/>
    <col min="40" max="40" width="14.7109375" style="0" bestFit="1" customWidth="1"/>
    <col min="41" max="16384" width="11.421875" style="0" customWidth="1"/>
  </cols>
  <sheetData>
    <row r="3" ht="12.75">
      <c r="AP3" s="514"/>
    </row>
    <row r="4" ht="12.75">
      <c r="AP4" s="514"/>
    </row>
    <row r="5" ht="12.75">
      <c r="AP5" s="514"/>
    </row>
    <row r="6" ht="13.5" thickBot="1">
      <c r="J6" t="s">
        <v>381</v>
      </c>
    </row>
    <row r="7" spans="1:40" ht="15.75">
      <c r="A7" s="1456" t="s">
        <v>384</v>
      </c>
      <c r="B7" t="s">
        <v>285</v>
      </c>
      <c r="C7" s="250">
        <f ca="1">(INDIRECT(CONCATENATE("'",$B7,"'","!AL14")))</f>
        <v>5321250</v>
      </c>
      <c r="D7" s="250"/>
      <c r="E7" s="250" t="str">
        <f ca="1">(INDIRECT(CONCATENATE("'",$B7,"'","!AM14")))</f>
        <v>n.a.</v>
      </c>
      <c r="F7" s="250"/>
      <c r="G7" s="250">
        <f ca="1">(INDIRECT(CONCATENATE("'",$B7,"'","!AN14")))</f>
        <v>41417080.589999996</v>
      </c>
      <c r="H7" s="250">
        <f>SUM(C7:G7)</f>
        <v>46738330.589999996</v>
      </c>
      <c r="I7" s="250"/>
      <c r="J7" s="631" t="s">
        <v>73</v>
      </c>
      <c r="K7" s="632">
        <f>SUM(C7:C18)</f>
        <v>5321250</v>
      </c>
      <c r="L7" s="632">
        <f>SUM(E7:E18)</f>
        <v>0</v>
      </c>
      <c r="M7" s="633">
        <f>SUM(G7:G18)</f>
        <v>44497080.589999996</v>
      </c>
      <c r="N7" s="634">
        <f>SUM(K7:M7)</f>
        <v>49818330.589999996</v>
      </c>
      <c r="O7" s="635">
        <f>N7/$N$12</f>
        <v>0.19139946281107204</v>
      </c>
      <c r="P7" s="57"/>
      <c r="AL7" s="514"/>
      <c r="AM7" s="514"/>
      <c r="AN7" s="514"/>
    </row>
    <row r="8" spans="1:16" ht="15.75">
      <c r="A8" s="1456"/>
      <c r="B8" t="s">
        <v>256</v>
      </c>
      <c r="C8" s="250" t="str">
        <f ca="1">(INDIRECT(CONCATENATE("'",$B8,"'","!AL14")))</f>
        <v>n.a.</v>
      </c>
      <c r="D8" s="250"/>
      <c r="E8" s="250" t="str">
        <f ca="1">(INDIRECT(CONCATENATE("'",$B8,"'","!AM14")))</f>
        <v>n.a.</v>
      </c>
      <c r="F8" s="250"/>
      <c r="G8" s="250">
        <f ca="1">(INDIRECT(CONCATENATE("'",$B8,"'","!AN14")))</f>
        <v>3080000</v>
      </c>
      <c r="H8" s="250">
        <f>SUM(C8:G8)</f>
        <v>3080000</v>
      </c>
      <c r="J8" s="636" t="s">
        <v>76</v>
      </c>
      <c r="K8" s="68">
        <f>SUM(C19:C30)</f>
        <v>94336472.27993779</v>
      </c>
      <c r="L8" s="68">
        <f>SUM(E19:E30)</f>
        <v>111647524.18322556</v>
      </c>
      <c r="M8" s="69">
        <f>SUM(G19:G30)</f>
        <v>1976457.08625</v>
      </c>
      <c r="N8" s="66">
        <f>SUM(K8:M8)</f>
        <v>207960453.54941335</v>
      </c>
      <c r="O8" s="637">
        <f>N8/$N$12</f>
        <v>0.7989733622927612</v>
      </c>
      <c r="P8" s="57"/>
    </row>
    <row r="9" spans="1:38" ht="16.5" thickBot="1">
      <c r="A9" s="1456"/>
      <c r="C9" s="250"/>
      <c r="D9" s="250"/>
      <c r="E9" s="250"/>
      <c r="F9" s="250"/>
      <c r="G9" s="628"/>
      <c r="H9" s="250"/>
      <c r="J9" s="638" t="s">
        <v>79</v>
      </c>
      <c r="K9" s="70">
        <f>SUM(C31:C42)</f>
        <v>2505805.2649729857</v>
      </c>
      <c r="L9" s="70">
        <f>SUM(E31:E42)</f>
        <v>0</v>
      </c>
      <c r="M9" s="71">
        <f>SUM(G31:G42)</f>
        <v>0</v>
      </c>
      <c r="N9" s="72">
        <f>SUM(K9:M9)</f>
        <v>2505805.2649729857</v>
      </c>
      <c r="O9" s="637">
        <f>N9/$N$12</f>
        <v>0.009627174896166778</v>
      </c>
      <c r="P9" s="73"/>
      <c r="AL9" s="250">
        <f>'Overview User'!AC22</f>
        <v>331543147</v>
      </c>
    </row>
    <row r="10" spans="1:16" ht="44.25" thickBot="1" thickTop="1">
      <c r="A10" s="1456"/>
      <c r="C10" s="250"/>
      <c r="D10" s="250"/>
      <c r="E10" s="250"/>
      <c r="F10" s="250"/>
      <c r="G10" s="250"/>
      <c r="H10" s="250"/>
      <c r="J10" s="639" t="s">
        <v>353</v>
      </c>
      <c r="K10" s="74">
        <f>SUM(K7:K9)</f>
        <v>102163527.54491077</v>
      </c>
      <c r="L10" s="75">
        <f>SUM(L7:L9)</f>
        <v>111647524.18322556</v>
      </c>
      <c r="M10" s="75">
        <f>SUM(M7:M9)</f>
        <v>46473537.676249996</v>
      </c>
      <c r="N10" s="1443"/>
      <c r="O10" s="1453"/>
      <c r="P10" s="76">
        <f>SUM(K10:M10)</f>
        <v>260284589.40438634</v>
      </c>
    </row>
    <row r="11" spans="1:38" ht="17.25" thickBot="1" thickTop="1">
      <c r="A11" s="1456"/>
      <c r="C11" s="250"/>
      <c r="D11" s="250"/>
      <c r="E11" s="250"/>
      <c r="F11" s="250"/>
      <c r="G11" s="250"/>
      <c r="H11" s="250"/>
      <c r="J11" s="640" t="s">
        <v>70</v>
      </c>
      <c r="K11" s="641">
        <f>K10/$N12</f>
        <v>0.3925070161806095</v>
      </c>
      <c r="L11" s="641">
        <f>L10/$N12</f>
        <v>0.42894404328243363</v>
      </c>
      <c r="M11" s="641">
        <f>M10/$N12</f>
        <v>0.1785489405369568</v>
      </c>
      <c r="N11" s="1454"/>
      <c r="O11" s="1455"/>
      <c r="P11" s="57"/>
      <c r="AL11" s="654">
        <f>'Overview User'!Y22</f>
        <v>0.7850700331452977</v>
      </c>
    </row>
    <row r="12" spans="1:16" ht="16.5" thickBot="1">
      <c r="A12" s="1456"/>
      <c r="C12" s="250"/>
      <c r="D12" s="250"/>
      <c r="E12" s="250"/>
      <c r="F12" s="250"/>
      <c r="G12" s="250"/>
      <c r="H12" s="250"/>
      <c r="J12" s="1447"/>
      <c r="K12" s="1447"/>
      <c r="L12" s="1447"/>
      <c r="M12" s="1448"/>
      <c r="N12" s="79">
        <f>SUM(N7:N9)</f>
        <v>260284589.40438634</v>
      </c>
      <c r="O12" s="1449"/>
      <c r="P12" s="1447"/>
    </row>
    <row r="13" spans="1:41" ht="13.5" thickTop="1">
      <c r="A13" s="1456"/>
      <c r="C13" s="250"/>
      <c r="D13" s="250"/>
      <c r="E13" s="250"/>
      <c r="F13" s="250"/>
      <c r="G13" s="250"/>
      <c r="H13" s="629"/>
      <c r="AK13" t="str">
        <f aca="true" t="shared" si="0" ref="AK13:AO14">J6</f>
        <v>Northern America</v>
      </c>
      <c r="AL13">
        <f t="shared" si="0"/>
        <v>0</v>
      </c>
      <c r="AM13">
        <f t="shared" si="0"/>
        <v>0</v>
      </c>
      <c r="AN13">
        <f t="shared" si="0"/>
        <v>0</v>
      </c>
      <c r="AO13">
        <f t="shared" si="0"/>
        <v>0</v>
      </c>
    </row>
    <row r="14" spans="1:42" ht="12.75">
      <c r="A14" s="1456"/>
      <c r="C14" s="250"/>
      <c r="D14" s="250"/>
      <c r="E14" s="250"/>
      <c r="F14" s="250"/>
      <c r="G14" s="250"/>
      <c r="H14" s="250"/>
      <c r="AK14" t="str">
        <f t="shared" si="0"/>
        <v>S1 Direct</v>
      </c>
      <c r="AL14">
        <f t="shared" si="0"/>
        <v>5321250</v>
      </c>
      <c r="AM14">
        <f t="shared" si="0"/>
        <v>0</v>
      </c>
      <c r="AN14">
        <f t="shared" si="0"/>
        <v>44497080.589999996</v>
      </c>
      <c r="AO14">
        <f t="shared" si="0"/>
        <v>49818330.589999996</v>
      </c>
      <c r="AP14" s="514">
        <f>AO14/$AP$17</f>
        <v>0.19139946281107204</v>
      </c>
    </row>
    <row r="15" spans="1:42" ht="12.75">
      <c r="A15" s="1456"/>
      <c r="C15" s="250"/>
      <c r="D15" s="250"/>
      <c r="E15" s="250"/>
      <c r="F15" s="250"/>
      <c r="G15" s="250"/>
      <c r="H15" s="250"/>
      <c r="AK15" t="str">
        <f aca="true" t="shared" si="1" ref="AK15:AM17">J8</f>
        <v>S2 Indirect</v>
      </c>
      <c r="AL15">
        <f t="shared" si="1"/>
        <v>94336472.27993779</v>
      </c>
      <c r="AM15">
        <f t="shared" si="1"/>
        <v>111647524.18322556</v>
      </c>
      <c r="AN15">
        <f aca="true" t="shared" si="2" ref="AN15:AO17">M8</f>
        <v>1976457.08625</v>
      </c>
      <c r="AO15">
        <f t="shared" si="2"/>
        <v>207960453.54941335</v>
      </c>
      <c r="AP15" s="514">
        <f>AO15/$AP$17</f>
        <v>0.7989733622927612</v>
      </c>
    </row>
    <row r="16" spans="1:42" ht="12.75">
      <c r="A16" s="1456"/>
      <c r="C16" s="250"/>
      <c r="D16" s="250"/>
      <c r="E16" s="250"/>
      <c r="F16" s="250"/>
      <c r="G16" s="250"/>
      <c r="H16" s="250"/>
      <c r="AK16" t="str">
        <f t="shared" si="1"/>
        <v>S3 Recovered</v>
      </c>
      <c r="AL16">
        <f t="shared" si="1"/>
        <v>2505805.2649729857</v>
      </c>
      <c r="AM16">
        <f t="shared" si="1"/>
        <v>0</v>
      </c>
      <c r="AN16">
        <f t="shared" si="2"/>
        <v>0</v>
      </c>
      <c r="AO16">
        <f t="shared" si="2"/>
        <v>2505805.2649729857</v>
      </c>
      <c r="AP16" s="514">
        <f>AO16/$AP$17</f>
        <v>0.009627174896166778</v>
      </c>
    </row>
    <row r="17" spans="1:42" ht="12.75">
      <c r="A17" s="1456"/>
      <c r="C17" s="250"/>
      <c r="D17" s="250"/>
      <c r="E17" s="250"/>
      <c r="F17" s="250"/>
      <c r="G17" s="250"/>
      <c r="H17" s="250"/>
      <c r="AK17" t="str">
        <f t="shared" si="1"/>
        <v>Sum (U1+U2+U3)</v>
      </c>
      <c r="AL17">
        <f t="shared" si="1"/>
        <v>102163527.54491077</v>
      </c>
      <c r="AM17">
        <f t="shared" si="1"/>
        <v>111647524.18322556</v>
      </c>
      <c r="AN17">
        <f>M10</f>
        <v>46473537.676249996</v>
      </c>
      <c r="AO17">
        <f t="shared" si="2"/>
        <v>0</v>
      </c>
      <c r="AP17">
        <f>SUM(AL17:AN17)</f>
        <v>260284589.40438634</v>
      </c>
    </row>
    <row r="18" spans="1:40" ht="12.75">
      <c r="A18" s="1456"/>
      <c r="C18" s="250"/>
      <c r="D18" s="250"/>
      <c r="E18" s="250"/>
      <c r="F18" s="250"/>
      <c r="G18" s="250"/>
      <c r="H18" s="250"/>
      <c r="J18" s="565"/>
      <c r="K18" s="565"/>
      <c r="L18" s="565"/>
      <c r="M18" s="565"/>
      <c r="N18" s="565"/>
      <c r="O18" s="565"/>
      <c r="P18" s="565"/>
      <c r="AL18" s="514">
        <f>AL17/$AP$17</f>
        <v>0.3925070161806095</v>
      </c>
      <c r="AM18" s="514">
        <f>AM17/$AP$17</f>
        <v>0.42894404328243363</v>
      </c>
      <c r="AN18" s="514">
        <f>AN17/$AP$17</f>
        <v>0.1785489405369568</v>
      </c>
    </row>
    <row r="19" spans="1:16" ht="14.25">
      <c r="A19" s="1456" t="s">
        <v>385</v>
      </c>
      <c r="B19" t="s">
        <v>285</v>
      </c>
      <c r="C19" s="250">
        <f ca="1">(INDIRECT(CONCATENATE("'",$B19,"'","!AL15")))</f>
        <v>73934856.05598755</v>
      </c>
      <c r="D19" s="250"/>
      <c r="E19" s="250">
        <f ca="1">(INDIRECT(CONCATENATE("'",$B19,"'","!AM15")))</f>
        <v>87469524.18322556</v>
      </c>
      <c r="F19" s="250"/>
      <c r="G19" s="250">
        <f ca="1">(INDIRECT(CONCATENATE("'",$B19,"'","!AN15")))</f>
        <v>1826457.08625</v>
      </c>
      <c r="H19" s="250">
        <f>SUM(C19:G19)</f>
        <v>163230837.32546312</v>
      </c>
      <c r="J19" s="1498"/>
      <c r="K19" s="1500"/>
      <c r="L19" s="1501"/>
      <c r="M19" s="1500"/>
      <c r="N19" s="1501"/>
      <c r="O19" s="1500"/>
      <c r="P19" s="1501"/>
    </row>
    <row r="20" spans="1:16" ht="14.25">
      <c r="A20" s="1456"/>
      <c r="B20" t="s">
        <v>256</v>
      </c>
      <c r="C20" s="250">
        <f ca="1">(INDIRECT(CONCATENATE("'",$B20,"'","!AL15")))</f>
        <v>20401616.223950233</v>
      </c>
      <c r="D20" s="250"/>
      <c r="E20" s="250">
        <f ca="1">(INDIRECT(CONCATENATE("'",$B20,"'","!AM15")))</f>
        <v>24178000</v>
      </c>
      <c r="F20" s="250"/>
      <c r="G20" s="250">
        <f ca="1">(INDIRECT(CONCATENATE("'",$B20,"'","!AN15")))</f>
        <v>150000</v>
      </c>
      <c r="H20" s="250">
        <f>SUM(C20:G20)</f>
        <v>44729616.22395024</v>
      </c>
      <c r="J20" s="1499"/>
      <c r="K20" s="642"/>
      <c r="L20" s="562"/>
      <c r="M20" s="642"/>
      <c r="N20" s="562"/>
      <c r="O20" s="642"/>
      <c r="P20" s="562"/>
    </row>
    <row r="21" spans="1:16" ht="15">
      <c r="A21" s="1456"/>
      <c r="C21" s="250"/>
      <c r="D21" s="250"/>
      <c r="E21" s="630"/>
      <c r="F21" s="250"/>
      <c r="G21" s="250"/>
      <c r="H21" s="629"/>
      <c r="J21" s="643"/>
      <c r="K21" s="606"/>
      <c r="L21" s="563"/>
      <c r="M21" s="606"/>
      <c r="N21" s="563"/>
      <c r="O21" s="606"/>
      <c r="P21" s="563"/>
    </row>
    <row r="22" spans="1:40" ht="15">
      <c r="A22" s="1456"/>
      <c r="C22" s="250"/>
      <c r="D22" s="250"/>
      <c r="E22" s="250"/>
      <c r="F22" s="250"/>
      <c r="G22" s="250"/>
      <c r="H22" s="629"/>
      <c r="M22" s="606"/>
      <c r="N22" s="563"/>
      <c r="O22" s="606"/>
      <c r="P22" s="606"/>
      <c r="AN22" s="250">
        <f>'Overview User'!AE22</f>
        <v>697302965.67635</v>
      </c>
    </row>
    <row r="23" spans="1:16" ht="15">
      <c r="A23" s="1456"/>
      <c r="C23" s="250"/>
      <c r="D23" s="250"/>
      <c r="E23" s="250"/>
      <c r="F23" s="250"/>
      <c r="G23" s="250"/>
      <c r="H23" s="250"/>
      <c r="M23" s="606"/>
      <c r="N23" s="606"/>
      <c r="O23" s="606"/>
      <c r="P23" s="606"/>
    </row>
    <row r="24" spans="1:16" ht="15">
      <c r="A24" s="1456"/>
      <c r="C24" s="250"/>
      <c r="D24" s="250"/>
      <c r="E24" s="250"/>
      <c r="F24" s="250"/>
      <c r="G24" s="250"/>
      <c r="H24" s="250"/>
      <c r="J24" s="643"/>
      <c r="K24" s="606"/>
      <c r="L24" s="606"/>
      <c r="M24" s="606"/>
      <c r="N24" s="563"/>
      <c r="O24" s="606"/>
      <c r="P24" s="563"/>
    </row>
    <row r="25" spans="1:40" ht="15">
      <c r="A25" s="1456"/>
      <c r="C25" s="250"/>
      <c r="D25" s="250"/>
      <c r="E25" s="250"/>
      <c r="F25" s="250"/>
      <c r="G25" s="250"/>
      <c r="H25" s="250"/>
      <c r="J25" s="643"/>
      <c r="K25" s="606"/>
      <c r="L25" s="606"/>
      <c r="M25" s="606"/>
      <c r="N25" s="563"/>
      <c r="O25" s="606"/>
      <c r="P25" s="563"/>
      <c r="AN25" s="250">
        <f>'Overview User'!AF22</f>
        <v>117441944.23921311</v>
      </c>
    </row>
    <row r="26" spans="1:16" ht="15">
      <c r="A26" s="1456"/>
      <c r="C26" s="250"/>
      <c r="D26" s="250"/>
      <c r="E26" s="250"/>
      <c r="F26" s="250"/>
      <c r="G26" s="250"/>
      <c r="H26" s="250"/>
      <c r="J26" s="643"/>
      <c r="K26" s="606"/>
      <c r="L26" s="563"/>
      <c r="M26" s="606"/>
      <c r="N26" s="563"/>
      <c r="O26" s="606"/>
      <c r="P26" s="606"/>
    </row>
    <row r="27" spans="1:16" ht="15">
      <c r="A27" s="1456"/>
      <c r="C27" s="250"/>
      <c r="D27" s="250"/>
      <c r="E27" s="250"/>
      <c r="F27" s="250"/>
      <c r="G27" s="250"/>
      <c r="H27" s="250"/>
      <c r="J27" s="643"/>
      <c r="K27" s="606"/>
      <c r="L27" s="563"/>
      <c r="M27" s="606"/>
      <c r="N27" s="563"/>
      <c r="O27" s="606"/>
      <c r="P27" s="563"/>
    </row>
    <row r="28" spans="1:16" ht="15">
      <c r="A28" s="1456"/>
      <c r="C28" s="250"/>
      <c r="D28" s="250"/>
      <c r="E28" s="250"/>
      <c r="F28" s="250"/>
      <c r="G28" s="250"/>
      <c r="H28" s="250"/>
      <c r="J28" s="643"/>
      <c r="K28" s="606"/>
      <c r="L28" s="563"/>
      <c r="M28" s="606"/>
      <c r="N28" s="563"/>
      <c r="O28" s="606"/>
      <c r="P28" s="563"/>
    </row>
    <row r="29" spans="1:16" ht="15">
      <c r="A29" s="1456"/>
      <c r="C29" s="250"/>
      <c r="D29" s="250"/>
      <c r="E29" s="250"/>
      <c r="F29" s="250"/>
      <c r="G29" s="250"/>
      <c r="H29" s="250"/>
      <c r="J29" s="643"/>
      <c r="K29" s="606"/>
      <c r="L29" s="563"/>
      <c r="M29" s="606"/>
      <c r="N29" s="563"/>
      <c r="O29" s="606"/>
      <c r="P29" s="563"/>
    </row>
    <row r="30" spans="1:16" ht="15">
      <c r="A30" s="1456"/>
      <c r="C30" s="250"/>
      <c r="D30" s="250"/>
      <c r="E30" s="250"/>
      <c r="F30" s="250"/>
      <c r="G30" s="250"/>
      <c r="H30" s="250"/>
      <c r="J30" s="643"/>
      <c r="K30" s="606"/>
      <c r="L30" s="563"/>
      <c r="M30" s="606"/>
      <c r="N30" s="563"/>
      <c r="O30" s="606"/>
      <c r="P30" s="563"/>
    </row>
    <row r="31" spans="1:16" ht="15">
      <c r="A31" s="1456" t="s">
        <v>386</v>
      </c>
      <c r="B31" t="s">
        <v>285</v>
      </c>
      <c r="C31" s="250">
        <f ca="1">(INDIRECT(CONCATENATE("'",$B31,"'","!AL16")))</f>
        <v>2505805.2649729857</v>
      </c>
      <c r="D31" s="250"/>
      <c r="E31" s="250" t="str">
        <f ca="1">(INDIRECT(CONCATENATE("'",$B31,"'","!AM16")))</f>
        <v>n.a.</v>
      </c>
      <c r="F31" s="250"/>
      <c r="G31" s="250" t="str">
        <f ca="1">(INDIRECT(CONCATENATE("'",$B31,"'","!AN16")))</f>
        <v>n.a.</v>
      </c>
      <c r="H31" s="250">
        <f>SUM(C31:G31)</f>
        <v>2505805.2649729857</v>
      </c>
      <c r="J31" s="643"/>
      <c r="K31" s="606"/>
      <c r="L31" s="563"/>
      <c r="M31" s="606"/>
      <c r="N31" s="563"/>
      <c r="O31" s="606"/>
      <c r="P31" s="563"/>
    </row>
    <row r="32" spans="1:16" ht="15">
      <c r="A32" s="1456"/>
      <c r="B32" t="s">
        <v>256</v>
      </c>
      <c r="C32" s="250" t="str">
        <f ca="1">(INDIRECT(CONCATENATE("'",$B32,"'","!AL16")))</f>
        <v>n.a.</v>
      </c>
      <c r="D32" s="250"/>
      <c r="E32" s="250" t="str">
        <f ca="1">(INDIRECT(CONCATENATE("'",$B32,"'","!AM16")))</f>
        <v>n.a.</v>
      </c>
      <c r="F32" s="250"/>
      <c r="G32" s="250" t="str">
        <f ca="1">(INDIRECT(CONCATENATE("'",$B32,"'","!AN16")))</f>
        <v>n.a.</v>
      </c>
      <c r="H32" s="250">
        <f>SUM(C32:G32)</f>
        <v>0</v>
      </c>
      <c r="J32" s="643"/>
      <c r="K32" s="606"/>
      <c r="L32" s="563"/>
      <c r="M32" s="606"/>
      <c r="N32" s="563"/>
      <c r="O32" s="606"/>
      <c r="P32" s="563"/>
    </row>
    <row r="33" spans="1:16" ht="12.75">
      <c r="A33" s="1456"/>
      <c r="C33" s="250"/>
      <c r="D33" s="250"/>
      <c r="E33" s="250"/>
      <c r="F33" s="250"/>
      <c r="G33" s="250"/>
      <c r="H33" s="250"/>
      <c r="J33" s="565"/>
      <c r="K33" s="565"/>
      <c r="L33" s="565"/>
      <c r="M33" s="565"/>
      <c r="N33" s="565"/>
      <c r="O33" s="565"/>
      <c r="P33" s="565"/>
    </row>
    <row r="34" spans="1:16" ht="12.75">
      <c r="A34" s="1456"/>
      <c r="C34" s="250"/>
      <c r="D34" s="250"/>
      <c r="E34" s="250"/>
      <c r="F34" s="250"/>
      <c r="G34" s="250"/>
      <c r="H34" s="250"/>
      <c r="J34" s="565"/>
      <c r="K34" s="565"/>
      <c r="L34" s="565"/>
      <c r="M34" s="565"/>
      <c r="N34" s="565"/>
      <c r="O34" s="565"/>
      <c r="P34" s="565"/>
    </row>
    <row r="35" spans="1:16" ht="12.75">
      <c r="A35" s="1456"/>
      <c r="C35" s="250"/>
      <c r="D35" s="250"/>
      <c r="E35" s="250"/>
      <c r="F35" s="250"/>
      <c r="G35" s="250"/>
      <c r="H35" s="250"/>
      <c r="J35" s="565"/>
      <c r="K35" s="612"/>
      <c r="L35" s="612"/>
      <c r="M35" s="612"/>
      <c r="N35" s="612"/>
      <c r="O35" s="612"/>
      <c r="P35" s="565"/>
    </row>
    <row r="36" spans="1:16" ht="12.75">
      <c r="A36" s="1456"/>
      <c r="C36" s="250"/>
      <c r="D36" s="250"/>
      <c r="E36" s="250"/>
      <c r="F36" s="250"/>
      <c r="G36" s="250"/>
      <c r="H36" s="250"/>
      <c r="J36" s="565"/>
      <c r="K36" s="612"/>
      <c r="L36" s="612"/>
      <c r="M36" s="612"/>
      <c r="N36" s="612"/>
      <c r="O36" s="612"/>
      <c r="P36" s="565"/>
    </row>
    <row r="37" spans="1:16" ht="12.75">
      <c r="A37" s="1456"/>
      <c r="C37" s="250"/>
      <c r="D37" s="250"/>
      <c r="E37" s="250"/>
      <c r="F37" s="250"/>
      <c r="G37" s="250"/>
      <c r="H37" s="250"/>
      <c r="J37" s="565"/>
      <c r="K37" s="612"/>
      <c r="L37" s="612"/>
      <c r="M37" s="612"/>
      <c r="N37" s="612"/>
      <c r="O37" s="612"/>
      <c r="P37" s="565"/>
    </row>
    <row r="38" spans="1:16" ht="12.75">
      <c r="A38" s="1456"/>
      <c r="C38" s="250"/>
      <c r="D38" s="250"/>
      <c r="E38" s="250"/>
      <c r="F38" s="250"/>
      <c r="G38" s="250"/>
      <c r="H38" s="250"/>
      <c r="J38" s="565"/>
      <c r="K38" s="612"/>
      <c r="L38" s="612"/>
      <c r="M38" s="612"/>
      <c r="N38" s="612"/>
      <c r="O38" s="612"/>
      <c r="P38" s="565"/>
    </row>
    <row r="39" spans="1:16" ht="12.75">
      <c r="A39" s="1456"/>
      <c r="C39" s="250"/>
      <c r="D39" s="250"/>
      <c r="E39" s="250"/>
      <c r="F39" s="250"/>
      <c r="G39" s="250"/>
      <c r="H39" s="250"/>
      <c r="J39" s="565"/>
      <c r="K39" s="612"/>
      <c r="L39" s="612"/>
      <c r="M39" s="612"/>
      <c r="N39" s="612"/>
      <c r="O39" s="612"/>
      <c r="P39" s="565"/>
    </row>
    <row r="40" spans="1:16" ht="12.75">
      <c r="A40" s="1456"/>
      <c r="C40" s="250"/>
      <c r="D40" s="250"/>
      <c r="E40" s="250"/>
      <c r="F40" s="250"/>
      <c r="G40" s="250"/>
      <c r="H40" s="250"/>
      <c r="J40" s="565"/>
      <c r="K40" s="612"/>
      <c r="L40" s="612"/>
      <c r="M40" s="612"/>
      <c r="N40" s="612"/>
      <c r="O40" s="612"/>
      <c r="P40" s="565"/>
    </row>
    <row r="41" spans="1:16" ht="12.75">
      <c r="A41" s="1456"/>
      <c r="C41" s="250"/>
      <c r="D41" s="250"/>
      <c r="E41" s="250"/>
      <c r="F41" s="250"/>
      <c r="G41" s="250"/>
      <c r="H41" s="250"/>
      <c r="J41" s="565"/>
      <c r="K41" s="612"/>
      <c r="L41" s="612"/>
      <c r="M41" s="612"/>
      <c r="N41" s="612"/>
      <c r="O41" s="612"/>
      <c r="P41" s="565"/>
    </row>
    <row r="42" spans="1:16" ht="12.75">
      <c r="A42" s="1456"/>
      <c r="C42" s="250"/>
      <c r="D42" s="250"/>
      <c r="E42" s="250"/>
      <c r="F42" s="250"/>
      <c r="G42" s="250"/>
      <c r="H42" s="250"/>
      <c r="J42" s="565"/>
      <c r="K42" s="612"/>
      <c r="L42" s="612"/>
      <c r="M42" s="612"/>
      <c r="N42" s="612"/>
      <c r="O42" s="612"/>
      <c r="P42" s="565"/>
    </row>
    <row r="43" spans="3:16" ht="12.75">
      <c r="C43" s="250">
        <f>SUM(C7:C42)</f>
        <v>102163527.54491077</v>
      </c>
      <c r="E43" s="250">
        <f>SUM(E7:E34)</f>
        <v>111647524.18322556</v>
      </c>
      <c r="G43" s="250">
        <f>SUM(G7:G39)</f>
        <v>46473537.676249996</v>
      </c>
      <c r="H43" s="250">
        <f>SUM(C43:G43)</f>
        <v>260284589.40438634</v>
      </c>
      <c r="J43" s="565"/>
      <c r="K43" s="612"/>
      <c r="L43" s="612"/>
      <c r="M43" s="612"/>
      <c r="N43" s="612"/>
      <c r="O43" s="612"/>
      <c r="P43" s="565"/>
    </row>
    <row r="44" spans="8:16" ht="12.75">
      <c r="H44" s="250">
        <f>SUM(H7:H43)</f>
        <v>520569178.8087727</v>
      </c>
      <c r="J44" s="565"/>
      <c r="K44" s="612"/>
      <c r="L44" s="612"/>
      <c r="M44" s="612"/>
      <c r="N44" s="612"/>
      <c r="O44" s="612"/>
      <c r="P44" s="565"/>
    </row>
    <row r="45" spans="10:16" ht="12.75">
      <c r="J45" s="565"/>
      <c r="K45" s="612"/>
      <c r="L45" s="612"/>
      <c r="M45" s="612"/>
      <c r="N45" s="612"/>
      <c r="O45" s="612"/>
      <c r="P45" s="565"/>
    </row>
    <row r="46" spans="3:16" ht="12.75">
      <c r="C46" s="250"/>
      <c r="D46" s="250"/>
      <c r="E46" s="250"/>
      <c r="F46" s="250"/>
      <c r="G46" s="250"/>
      <c r="J46" s="565"/>
      <c r="K46" s="612"/>
      <c r="L46" s="612"/>
      <c r="M46" s="612"/>
      <c r="N46" s="612"/>
      <c r="O46" s="612"/>
      <c r="P46" s="565"/>
    </row>
    <row r="47" spans="3:16" ht="12.75">
      <c r="C47" s="250"/>
      <c r="D47" s="250"/>
      <c r="E47" s="250"/>
      <c r="F47" s="250"/>
      <c r="G47" s="250"/>
      <c r="J47" s="565"/>
      <c r="K47" s="565"/>
      <c r="L47" s="565"/>
      <c r="M47" s="565"/>
      <c r="N47" s="565"/>
      <c r="O47" s="565"/>
      <c r="P47" s="565"/>
    </row>
    <row r="48" spans="3:16" ht="12.75">
      <c r="C48" s="250"/>
      <c r="D48" s="250"/>
      <c r="E48" s="250"/>
      <c r="F48" s="250"/>
      <c r="G48" s="250"/>
      <c r="J48" s="565"/>
      <c r="K48" s="565"/>
      <c r="L48" s="565"/>
      <c r="M48" s="565"/>
      <c r="N48" s="565"/>
      <c r="O48" s="565"/>
      <c r="P48" s="565"/>
    </row>
    <row r="49" spans="3:16" ht="15">
      <c r="C49" s="250"/>
      <c r="D49" s="250"/>
      <c r="E49" s="250"/>
      <c r="F49" s="250"/>
      <c r="G49" s="250"/>
      <c r="J49" s="565"/>
      <c r="K49" s="606"/>
      <c r="L49" s="563"/>
      <c r="M49" s="606"/>
      <c r="N49" s="563"/>
      <c r="O49" s="606"/>
      <c r="P49" s="563"/>
    </row>
    <row r="50" spans="3:16" ht="15">
      <c r="C50" s="250"/>
      <c r="D50" s="250"/>
      <c r="E50" s="250"/>
      <c r="F50" s="250"/>
      <c r="G50" s="250"/>
      <c r="J50" s="565"/>
      <c r="K50" s="606"/>
      <c r="L50" s="563"/>
      <c r="M50" s="606"/>
      <c r="N50" s="563"/>
      <c r="O50" s="606"/>
      <c r="P50" s="563"/>
    </row>
    <row r="51" spans="3:16" ht="15">
      <c r="C51" s="250"/>
      <c r="D51" s="250"/>
      <c r="E51" s="250"/>
      <c r="F51" s="250"/>
      <c r="G51" s="250"/>
      <c r="J51" s="565"/>
      <c r="K51" s="606"/>
      <c r="L51" s="563"/>
      <c r="M51" s="606"/>
      <c r="N51" s="563"/>
      <c r="O51" s="606"/>
      <c r="P51" s="563"/>
    </row>
    <row r="52" spans="3:16" ht="15">
      <c r="C52" s="250"/>
      <c r="D52" s="250"/>
      <c r="E52" s="250"/>
      <c r="F52" s="250"/>
      <c r="G52" s="250"/>
      <c r="J52" s="565"/>
      <c r="K52" s="606"/>
      <c r="L52" s="563"/>
      <c r="M52" s="606"/>
      <c r="N52" s="563"/>
      <c r="O52" s="606"/>
      <c r="P52" s="563"/>
    </row>
    <row r="53" spans="3:16" ht="15">
      <c r="C53" s="250"/>
      <c r="D53" s="250"/>
      <c r="E53" s="250"/>
      <c r="F53" s="250"/>
      <c r="G53" s="250"/>
      <c r="J53" s="565"/>
      <c r="K53" s="606"/>
      <c r="L53" s="563"/>
      <c r="M53" s="606"/>
      <c r="N53" s="563"/>
      <c r="O53" s="606"/>
      <c r="P53" s="563"/>
    </row>
    <row r="54" spans="3:16" ht="15">
      <c r="C54" s="250"/>
      <c r="D54" s="250"/>
      <c r="E54" s="250"/>
      <c r="F54" s="250"/>
      <c r="G54" s="250"/>
      <c r="J54" s="565"/>
      <c r="K54" s="606"/>
      <c r="L54" s="563"/>
      <c r="M54" s="606"/>
      <c r="N54" s="563"/>
      <c r="O54" s="606"/>
      <c r="P54" s="563"/>
    </row>
    <row r="55" spans="3:16" ht="15">
      <c r="C55" s="250"/>
      <c r="D55" s="250"/>
      <c r="E55" s="250"/>
      <c r="F55" s="250"/>
      <c r="G55" s="250"/>
      <c r="J55" s="565"/>
      <c r="K55" s="606"/>
      <c r="L55" s="563"/>
      <c r="M55" s="606"/>
      <c r="N55" s="563"/>
      <c r="O55" s="606"/>
      <c r="P55" s="563"/>
    </row>
    <row r="56" spans="3:16" ht="15">
      <c r="C56" s="250"/>
      <c r="D56" s="250"/>
      <c r="E56" s="250"/>
      <c r="F56" s="250"/>
      <c r="G56" s="250"/>
      <c r="J56" s="565"/>
      <c r="K56" s="606"/>
      <c r="L56" s="563"/>
      <c r="M56" s="606"/>
      <c r="N56" s="563"/>
      <c r="O56" s="606"/>
      <c r="P56" s="563"/>
    </row>
    <row r="57" spans="3:16" ht="15">
      <c r="C57" s="250"/>
      <c r="D57" s="250"/>
      <c r="E57" s="250"/>
      <c r="F57" s="250"/>
      <c r="G57" s="250"/>
      <c r="J57" s="565"/>
      <c r="K57" s="606"/>
      <c r="L57" s="563"/>
      <c r="M57" s="606"/>
      <c r="N57" s="563"/>
      <c r="O57" s="606"/>
      <c r="P57" s="563"/>
    </row>
    <row r="58" spans="10:16" ht="15">
      <c r="J58" s="565"/>
      <c r="K58" s="606"/>
      <c r="L58" s="563"/>
      <c r="M58" s="606"/>
      <c r="N58" s="563"/>
      <c r="O58" s="606"/>
      <c r="P58" s="563"/>
    </row>
    <row r="59" spans="10:16" ht="15">
      <c r="J59" s="565"/>
      <c r="K59" s="606"/>
      <c r="L59" s="563"/>
      <c r="M59" s="606"/>
      <c r="N59" s="563"/>
      <c r="O59" s="606"/>
      <c r="P59" s="563"/>
    </row>
    <row r="60" spans="10:16" ht="15">
      <c r="J60" s="565"/>
      <c r="K60" s="606"/>
      <c r="L60" s="563"/>
      <c r="M60" s="606"/>
      <c r="N60" s="563"/>
      <c r="O60" s="606"/>
      <c r="P60" s="563"/>
    </row>
    <row r="61" spans="10:16" ht="15">
      <c r="J61" s="565"/>
      <c r="K61" s="606"/>
      <c r="L61" s="565"/>
      <c r="M61" s="565"/>
      <c r="N61" s="565"/>
      <c r="O61" s="565"/>
      <c r="P61" s="565"/>
    </row>
    <row r="62" spans="3:16" ht="12.75">
      <c r="C62" s="250">
        <f>SUM(C63:C98)</f>
        <v>33875272.61121751</v>
      </c>
      <c r="E62" s="250">
        <f>SUM(E63:E98)</f>
        <v>68557619.63889517</v>
      </c>
      <c r="J62" s="565"/>
      <c r="K62" s="612"/>
      <c r="L62" s="612"/>
      <c r="M62" s="612"/>
      <c r="N62" s="612"/>
      <c r="O62" s="612"/>
      <c r="P62" s="612"/>
    </row>
    <row r="63" spans="1:16" ht="12.75">
      <c r="A63" s="1456" t="s">
        <v>384</v>
      </c>
      <c r="B63" t="s">
        <v>240</v>
      </c>
      <c r="C63" s="250">
        <v>5675</v>
      </c>
      <c r="D63" s="250"/>
      <c r="E63" s="250">
        <v>160470</v>
      </c>
      <c r="F63" s="250"/>
      <c r="G63" s="250">
        <v>6763178</v>
      </c>
      <c r="H63" s="250">
        <v>6929323</v>
      </c>
      <c r="J63" s="565"/>
      <c r="K63" s="612"/>
      <c r="L63" s="612"/>
      <c r="M63" s="612"/>
      <c r="N63" s="612"/>
      <c r="O63" s="612"/>
      <c r="P63" s="612"/>
    </row>
    <row r="64" spans="1:16" ht="12.75">
      <c r="A64" s="1456"/>
      <c r="B64" t="s">
        <v>238</v>
      </c>
      <c r="C64" s="250">
        <v>0</v>
      </c>
      <c r="D64" s="250"/>
      <c r="E64" s="250">
        <v>76000</v>
      </c>
      <c r="F64" s="250"/>
      <c r="G64" s="250">
        <v>5810000</v>
      </c>
      <c r="H64" s="250">
        <v>5886000</v>
      </c>
      <c r="J64" s="565"/>
      <c r="K64" s="612"/>
      <c r="L64" s="612"/>
      <c r="M64" s="612"/>
      <c r="N64" s="612"/>
      <c r="O64" s="612"/>
      <c r="P64" s="612"/>
    </row>
    <row r="65" spans="1:16" ht="12.75">
      <c r="A65" s="1456"/>
      <c r="B65" t="s">
        <v>242</v>
      </c>
      <c r="C65" s="250">
        <v>0</v>
      </c>
      <c r="D65" s="250"/>
      <c r="E65" s="250">
        <v>0</v>
      </c>
      <c r="F65" s="250"/>
      <c r="G65" s="628">
        <v>44400000</v>
      </c>
      <c r="H65" s="250">
        <v>44400000</v>
      </c>
      <c r="J65" s="565"/>
      <c r="K65" s="612"/>
      <c r="L65" s="612"/>
      <c r="M65" s="612"/>
      <c r="N65" s="612"/>
      <c r="O65" s="612"/>
      <c r="P65" s="612"/>
    </row>
    <row r="66" spans="1:16" ht="12.75">
      <c r="A66" s="1456"/>
      <c r="B66" t="s">
        <v>122</v>
      </c>
      <c r="C66" s="250">
        <v>1394739.714128916</v>
      </c>
      <c r="D66" s="250"/>
      <c r="E66" s="250">
        <v>884265.3932608699</v>
      </c>
      <c r="F66" s="250"/>
      <c r="G66" s="250">
        <v>4478260.869565221</v>
      </c>
      <c r="H66" s="250">
        <v>6757265.976955006</v>
      </c>
      <c r="J66" s="565"/>
      <c r="K66" s="612"/>
      <c r="L66" s="612"/>
      <c r="M66" s="612"/>
      <c r="N66" s="612"/>
      <c r="O66" s="612"/>
      <c r="P66" s="612"/>
    </row>
    <row r="67" spans="1:16" ht="12.75">
      <c r="A67" s="1456"/>
      <c r="B67" t="s">
        <v>239</v>
      </c>
      <c r="C67" s="250">
        <v>0</v>
      </c>
      <c r="D67" s="250"/>
      <c r="E67" s="250">
        <v>0</v>
      </c>
      <c r="F67" s="250"/>
      <c r="G67" s="250">
        <v>5923000</v>
      </c>
      <c r="H67" s="250">
        <v>5923000</v>
      </c>
      <c r="J67" s="565"/>
      <c r="K67" s="612"/>
      <c r="L67" s="612"/>
      <c r="M67" s="612"/>
      <c r="N67" s="612"/>
      <c r="O67" s="612"/>
      <c r="P67" s="612"/>
    </row>
    <row r="68" spans="1:16" ht="12.75">
      <c r="A68" s="1456"/>
      <c r="B68" t="s">
        <v>280</v>
      </c>
      <c r="C68" s="250">
        <v>123700</v>
      </c>
      <c r="D68" s="250"/>
      <c r="E68" s="250">
        <v>10500</v>
      </c>
      <c r="F68" s="250"/>
      <c r="G68" s="250">
        <v>1350000</v>
      </c>
      <c r="H68" s="250">
        <v>1484200</v>
      </c>
      <c r="J68" s="565"/>
      <c r="K68" s="612"/>
      <c r="L68" s="612"/>
      <c r="M68" s="612"/>
      <c r="N68" s="612"/>
      <c r="O68" s="612"/>
      <c r="P68" s="612"/>
    </row>
    <row r="69" spans="1:16" ht="12.75">
      <c r="A69" s="1456"/>
      <c r="B69" t="s">
        <v>284</v>
      </c>
      <c r="C69" s="250">
        <v>210000</v>
      </c>
      <c r="D69" s="250"/>
      <c r="E69" s="250">
        <v>0</v>
      </c>
      <c r="F69" s="250"/>
      <c r="G69" s="250">
        <v>115000</v>
      </c>
      <c r="H69" s="629">
        <v>325000</v>
      </c>
      <c r="J69" s="565"/>
      <c r="K69" s="612"/>
      <c r="L69" s="612"/>
      <c r="M69" s="612"/>
      <c r="N69" s="612"/>
      <c r="O69" s="612"/>
      <c r="P69" s="612"/>
    </row>
    <row r="70" spans="1:16" ht="12.75">
      <c r="A70" s="1456"/>
      <c r="B70" t="s">
        <v>127</v>
      </c>
      <c r="C70" s="250">
        <v>0</v>
      </c>
      <c r="D70" s="250"/>
      <c r="E70" s="250">
        <v>0</v>
      </c>
      <c r="F70" s="250"/>
      <c r="G70" s="250">
        <v>3128000</v>
      </c>
      <c r="H70" s="250">
        <v>3128000</v>
      </c>
      <c r="J70" s="565"/>
      <c r="K70" s="612"/>
      <c r="L70" s="612"/>
      <c r="M70" s="612"/>
      <c r="N70" s="612"/>
      <c r="O70" s="612"/>
      <c r="P70" s="612"/>
    </row>
    <row r="71" spans="1:16" ht="12.75">
      <c r="A71" s="1456"/>
      <c r="B71" t="s">
        <v>281</v>
      </c>
      <c r="C71" s="250">
        <v>0</v>
      </c>
      <c r="D71" s="250"/>
      <c r="E71" s="250">
        <v>0</v>
      </c>
      <c r="F71" s="250"/>
      <c r="G71" s="250">
        <v>1305081</v>
      </c>
      <c r="H71" s="250">
        <v>1305081</v>
      </c>
      <c r="K71" s="250">
        <f>K58-K44</f>
        <v>0</v>
      </c>
      <c r="L71" s="250"/>
      <c r="M71" s="250">
        <f>M58-M44</f>
        <v>0</v>
      </c>
      <c r="N71" s="250"/>
      <c r="O71" s="250">
        <f>O58-O44</f>
        <v>0</v>
      </c>
      <c r="P71" s="250"/>
    </row>
    <row r="72" spans="1:16" ht="12.75">
      <c r="A72" s="1456"/>
      <c r="B72" t="s">
        <v>1</v>
      </c>
      <c r="C72" s="250">
        <v>0</v>
      </c>
      <c r="D72" s="250"/>
      <c r="E72" s="250">
        <v>0</v>
      </c>
      <c r="F72" s="250"/>
      <c r="G72" s="250">
        <v>6923153.96578538</v>
      </c>
      <c r="H72" s="250">
        <v>6923153.96578538</v>
      </c>
      <c r="K72" s="250">
        <f>K59-K45</f>
        <v>0</v>
      </c>
      <c r="L72" s="250"/>
      <c r="M72" s="250">
        <f>M59-M45</f>
        <v>0</v>
      </c>
      <c r="N72" s="250"/>
      <c r="O72" s="250">
        <f>O59-O45</f>
        <v>0</v>
      </c>
      <c r="P72" s="250"/>
    </row>
    <row r="73" spans="1:16" ht="12.75">
      <c r="A73" s="1456"/>
      <c r="B73" t="s">
        <v>271</v>
      </c>
      <c r="C73" s="250">
        <v>788000</v>
      </c>
      <c r="D73" s="250"/>
      <c r="E73" s="250">
        <v>0</v>
      </c>
      <c r="F73" s="250"/>
      <c r="G73" s="250">
        <v>1218800</v>
      </c>
      <c r="H73" s="250">
        <v>2006800</v>
      </c>
      <c r="K73" s="250">
        <f>K60-K46</f>
        <v>0</v>
      </c>
      <c r="L73" s="250"/>
      <c r="M73" s="250">
        <f>M60-M46</f>
        <v>0</v>
      </c>
      <c r="N73" s="250"/>
      <c r="O73" s="250">
        <f>O60-O46</f>
        <v>0</v>
      </c>
      <c r="P73" s="250"/>
    </row>
    <row r="74" spans="1:16" ht="12.75">
      <c r="A74" s="1456"/>
      <c r="B74" t="s">
        <v>199</v>
      </c>
      <c r="C74" s="250">
        <v>257500</v>
      </c>
      <c r="D74" s="250"/>
      <c r="E74" s="250">
        <v>234600</v>
      </c>
      <c r="F74" s="250"/>
      <c r="G74" s="250">
        <v>88000</v>
      </c>
      <c r="H74" s="250">
        <v>580100</v>
      </c>
      <c r="K74" s="250"/>
      <c r="L74" s="250"/>
      <c r="M74" s="250"/>
      <c r="N74" s="250"/>
      <c r="O74" s="250"/>
      <c r="P74" s="250"/>
    </row>
    <row r="75" spans="1:16" ht="12.75">
      <c r="A75" s="1456" t="s">
        <v>385</v>
      </c>
      <c r="B75" t="s">
        <v>240</v>
      </c>
      <c r="C75" s="250">
        <v>1707728.2171073095</v>
      </c>
      <c r="D75" s="250"/>
      <c r="E75" s="250">
        <v>3694214.6</v>
      </c>
      <c r="F75" s="250"/>
      <c r="G75" s="250">
        <v>1774557</v>
      </c>
      <c r="H75" s="250">
        <v>7176499.81710731</v>
      </c>
      <c r="K75" s="250"/>
      <c r="L75" s="250"/>
      <c r="M75" s="250"/>
      <c r="N75" s="250"/>
      <c r="O75" s="250"/>
      <c r="P75" s="250"/>
    </row>
    <row r="76" spans="1:16" ht="12.75">
      <c r="A76" s="1456"/>
      <c r="B76" t="s">
        <v>238</v>
      </c>
      <c r="C76" s="250">
        <v>590506.5505443234</v>
      </c>
      <c r="D76" s="250"/>
      <c r="E76" s="250">
        <v>2482493.4494556766</v>
      </c>
      <c r="F76" s="250"/>
      <c r="G76" s="250">
        <v>171000</v>
      </c>
      <c r="H76" s="250">
        <v>3244000</v>
      </c>
      <c r="K76" s="250"/>
      <c r="L76" s="250"/>
      <c r="M76" s="250"/>
      <c r="N76" s="250"/>
      <c r="O76" s="250"/>
      <c r="P76" s="250"/>
    </row>
    <row r="77" spans="1:8" ht="12.75">
      <c r="A77" s="1456"/>
      <c r="B77" t="s">
        <v>242</v>
      </c>
      <c r="C77" s="250">
        <v>0</v>
      </c>
      <c r="D77" s="250"/>
      <c r="E77" s="630">
        <v>3102000</v>
      </c>
      <c r="F77" s="250"/>
      <c r="G77" s="250">
        <v>522</v>
      </c>
      <c r="H77" s="629">
        <v>3102522</v>
      </c>
    </row>
    <row r="78" spans="1:8" ht="12.75">
      <c r="A78" s="1456"/>
      <c r="B78" t="s">
        <v>122</v>
      </c>
      <c r="C78" s="250">
        <v>2465596.8659843993</v>
      </c>
      <c r="D78" s="250"/>
      <c r="E78" s="250">
        <v>24349806.229548987</v>
      </c>
      <c r="F78" s="250"/>
      <c r="G78" s="250">
        <v>980000</v>
      </c>
      <c r="H78" s="629">
        <v>27795403.095533386</v>
      </c>
    </row>
    <row r="79" spans="1:8" ht="12.75">
      <c r="A79" s="1456"/>
      <c r="B79" t="s">
        <v>239</v>
      </c>
      <c r="C79" s="250">
        <v>0</v>
      </c>
      <c r="D79" s="250"/>
      <c r="E79" s="250">
        <v>4848000</v>
      </c>
      <c r="F79" s="250"/>
      <c r="G79" s="250">
        <v>192000</v>
      </c>
      <c r="H79" s="250">
        <v>5040000</v>
      </c>
    </row>
    <row r="80" spans="1:8" ht="12.75">
      <c r="A80" s="1456"/>
      <c r="B80" t="s">
        <v>280</v>
      </c>
      <c r="C80" s="250">
        <v>651100</v>
      </c>
      <c r="D80" s="250"/>
      <c r="E80" s="250">
        <v>411060</v>
      </c>
      <c r="F80" s="250"/>
      <c r="G80" s="250">
        <v>662280</v>
      </c>
      <c r="H80" s="250">
        <v>1724440</v>
      </c>
    </row>
    <row r="81" spans="1:8" ht="12.75">
      <c r="A81" s="1456"/>
      <c r="B81" t="s">
        <v>284</v>
      </c>
      <c r="C81" s="250">
        <v>1095000</v>
      </c>
      <c r="D81" s="250"/>
      <c r="E81" s="250">
        <v>150000</v>
      </c>
      <c r="F81" s="250"/>
      <c r="G81" s="250">
        <v>222000</v>
      </c>
      <c r="H81" s="250">
        <v>1467000</v>
      </c>
    </row>
    <row r="82" spans="1:8" ht="12.75">
      <c r="A82" s="1456"/>
      <c r="B82" t="s">
        <v>127</v>
      </c>
      <c r="C82" s="250">
        <v>373062.89766718505</v>
      </c>
      <c r="D82" s="250"/>
      <c r="E82" s="250">
        <v>2255937.102332815</v>
      </c>
      <c r="F82" s="250"/>
      <c r="G82" s="250">
        <v>39000</v>
      </c>
      <c r="H82" s="250">
        <v>2668000</v>
      </c>
    </row>
    <row r="83" spans="1:8" ht="12.75">
      <c r="A83" s="1456"/>
      <c r="B83" t="s">
        <v>281</v>
      </c>
      <c r="C83" s="250">
        <v>74112</v>
      </c>
      <c r="D83" s="250"/>
      <c r="E83" s="250">
        <v>708084</v>
      </c>
      <c r="F83" s="250"/>
      <c r="G83" s="250">
        <v>62626</v>
      </c>
      <c r="H83" s="250">
        <v>844822</v>
      </c>
    </row>
    <row r="84" spans="1:8" ht="12.75">
      <c r="A84" s="1456"/>
      <c r="B84" t="s">
        <v>1</v>
      </c>
      <c r="C84" s="250">
        <v>10301553.96578538</v>
      </c>
      <c r="D84" s="250"/>
      <c r="E84" s="250">
        <v>24609267.807153966</v>
      </c>
      <c r="F84" s="250"/>
      <c r="G84" s="250">
        <v>2000000</v>
      </c>
      <c r="H84" s="250">
        <v>36910821.77293935</v>
      </c>
    </row>
    <row r="85" spans="1:8" ht="12.75">
      <c r="A85" s="1456"/>
      <c r="B85" t="s">
        <v>271</v>
      </c>
      <c r="C85" s="250">
        <v>952000</v>
      </c>
      <c r="D85" s="250"/>
      <c r="E85" s="250">
        <v>224000</v>
      </c>
      <c r="F85" s="250"/>
      <c r="G85" s="250">
        <v>74004</v>
      </c>
      <c r="H85" s="250">
        <v>1250004</v>
      </c>
    </row>
    <row r="86" spans="1:8" ht="12.75">
      <c r="A86" s="1456"/>
      <c r="B86" t="s">
        <v>199</v>
      </c>
      <c r="C86" s="250">
        <v>0</v>
      </c>
      <c r="D86" s="250"/>
      <c r="E86" s="250">
        <v>0</v>
      </c>
      <c r="F86" s="250"/>
      <c r="G86" s="250">
        <v>312000</v>
      </c>
      <c r="H86" s="250">
        <v>312000</v>
      </c>
    </row>
    <row r="87" spans="1:8" ht="12.75">
      <c r="A87" s="1456" t="s">
        <v>386</v>
      </c>
      <c r="B87" t="s">
        <v>240</v>
      </c>
      <c r="C87" s="250">
        <v>651000</v>
      </c>
      <c r="D87" s="250"/>
      <c r="E87" s="250">
        <v>0</v>
      </c>
      <c r="F87" s="250"/>
      <c r="G87" s="250">
        <v>0</v>
      </c>
      <c r="H87" s="250">
        <v>651000</v>
      </c>
    </row>
    <row r="88" spans="1:8" ht="12.75">
      <c r="A88" s="1456"/>
      <c r="B88" t="s">
        <v>238</v>
      </c>
      <c r="C88" s="250">
        <v>0</v>
      </c>
      <c r="D88" s="250"/>
      <c r="E88" s="250">
        <v>0</v>
      </c>
      <c r="F88" s="250"/>
      <c r="G88" s="250">
        <v>0</v>
      </c>
      <c r="H88" s="250">
        <v>0</v>
      </c>
    </row>
    <row r="89" spans="1:8" ht="12.75">
      <c r="A89" s="1456"/>
      <c r="B89" t="s">
        <v>242</v>
      </c>
      <c r="C89" s="250">
        <v>0</v>
      </c>
      <c r="D89" s="250"/>
      <c r="E89" s="250">
        <v>0</v>
      </c>
      <c r="F89" s="250"/>
      <c r="G89" s="250">
        <v>0</v>
      </c>
      <c r="H89" s="250">
        <v>0</v>
      </c>
    </row>
    <row r="90" spans="1:8" ht="12.75">
      <c r="A90" s="1456"/>
      <c r="B90" t="s">
        <v>122</v>
      </c>
      <c r="C90" s="250">
        <v>614237.4</v>
      </c>
      <c r="D90" s="250"/>
      <c r="E90" s="250">
        <v>356921.057142858</v>
      </c>
      <c r="F90" s="250"/>
      <c r="G90" s="250">
        <v>0</v>
      </c>
      <c r="H90" s="250">
        <v>971158.4571428581</v>
      </c>
    </row>
    <row r="91" spans="1:8" ht="12.75">
      <c r="A91" s="1456"/>
      <c r="B91" t="s">
        <v>239</v>
      </c>
      <c r="C91" s="250">
        <v>6200000</v>
      </c>
      <c r="D91" s="250"/>
      <c r="E91" s="250">
        <v>0</v>
      </c>
      <c r="F91" s="250"/>
      <c r="G91" s="250">
        <v>0</v>
      </c>
      <c r="H91" s="250">
        <v>6200000</v>
      </c>
    </row>
    <row r="92" spans="1:8" ht="12.75">
      <c r="A92" s="1456"/>
      <c r="B92" t="s">
        <v>280</v>
      </c>
      <c r="C92" s="250">
        <v>0</v>
      </c>
      <c r="D92" s="250"/>
      <c r="E92" s="250">
        <v>0</v>
      </c>
      <c r="F92" s="250"/>
      <c r="G92" s="250">
        <v>0</v>
      </c>
      <c r="H92" s="250">
        <v>0</v>
      </c>
    </row>
    <row r="93" spans="1:8" ht="12.75">
      <c r="A93" s="1456"/>
      <c r="B93" t="s">
        <v>284</v>
      </c>
      <c r="C93" s="250">
        <v>250000</v>
      </c>
      <c r="D93" s="250"/>
      <c r="E93" s="250">
        <v>0</v>
      </c>
      <c r="F93" s="250"/>
      <c r="G93" s="250">
        <v>100000</v>
      </c>
      <c r="H93" s="250">
        <v>350000</v>
      </c>
    </row>
    <row r="94" spans="1:8" ht="12.75">
      <c r="A94" s="1456"/>
      <c r="B94" t="s">
        <v>127</v>
      </c>
      <c r="C94" s="250">
        <v>344400</v>
      </c>
      <c r="D94" s="250"/>
      <c r="E94" s="250">
        <v>0</v>
      </c>
      <c r="F94" s="250"/>
      <c r="G94" s="250">
        <v>0</v>
      </c>
      <c r="H94" s="250">
        <v>344400</v>
      </c>
    </row>
    <row r="95" spans="1:8" ht="12.75">
      <c r="A95" s="1456"/>
      <c r="B95" t="s">
        <v>281</v>
      </c>
      <c r="C95" s="250">
        <v>0</v>
      </c>
      <c r="D95" s="250"/>
      <c r="E95" s="250">
        <v>0</v>
      </c>
      <c r="F95" s="250"/>
      <c r="G95" s="250">
        <v>5470</v>
      </c>
      <c r="H95" s="250">
        <v>5470</v>
      </c>
    </row>
    <row r="96" spans="1:8" ht="12.75">
      <c r="A96" s="1456"/>
      <c r="B96" t="s">
        <v>1</v>
      </c>
      <c r="C96" s="250">
        <v>925200</v>
      </c>
      <c r="D96" s="250"/>
      <c r="E96" s="250">
        <v>0</v>
      </c>
      <c r="F96" s="250"/>
      <c r="G96" s="250">
        <v>0</v>
      </c>
      <c r="H96" s="250">
        <v>925200</v>
      </c>
    </row>
    <row r="97" spans="1:8" ht="12.75">
      <c r="A97" s="1456"/>
      <c r="B97" t="s">
        <v>271</v>
      </c>
      <c r="C97" s="250">
        <v>800000</v>
      </c>
      <c r="D97" s="250"/>
      <c r="E97" s="250">
        <v>0</v>
      </c>
      <c r="F97" s="250"/>
      <c r="G97" s="250">
        <v>0</v>
      </c>
      <c r="H97" s="250">
        <v>800000</v>
      </c>
    </row>
    <row r="98" spans="1:8" ht="12.75">
      <c r="A98" s="1456"/>
      <c r="B98" t="s">
        <v>199</v>
      </c>
      <c r="C98" s="250">
        <v>3100160</v>
      </c>
      <c r="D98" s="250"/>
      <c r="E98" s="250">
        <v>0</v>
      </c>
      <c r="F98" s="250"/>
      <c r="G98" s="250">
        <v>0</v>
      </c>
      <c r="H98" s="250">
        <v>3100160</v>
      </c>
    </row>
  </sheetData>
  <mergeCells count="13">
    <mergeCell ref="N10:O11"/>
    <mergeCell ref="J12:M12"/>
    <mergeCell ref="O12:P12"/>
    <mergeCell ref="J19:J20"/>
    <mergeCell ref="K19:L19"/>
    <mergeCell ref="M19:N19"/>
    <mergeCell ref="O19:P19"/>
    <mergeCell ref="A63:A74"/>
    <mergeCell ref="A75:A86"/>
    <mergeCell ref="A87:A98"/>
    <mergeCell ref="A7:A18"/>
    <mergeCell ref="A19:A30"/>
    <mergeCell ref="A31:A42"/>
  </mergeCells>
  <printOptions/>
  <pageMargins left="0.75" right="0.75" top="1" bottom="1" header="0.4921259845" footer="0.492125984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codeName="Tabelle17">
    <tabColor indexed="11"/>
  </sheetPr>
  <dimension ref="C1:AS95"/>
  <sheetViews>
    <sheetView zoomScale="75" zoomScaleNormal="75" zoomScaleSheetLayoutView="70" workbookViewId="0" topLeftCell="AA5">
      <selection activeCell="AI8" sqref="AI8"/>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8" width="12.57421875" style="159" customWidth="1"/>
    <col min="9" max="9" width="12.7109375" style="159" customWidth="1"/>
    <col min="10" max="10" width="10.140625" style="159" customWidth="1"/>
    <col min="11" max="11" width="14.8515625" style="169" customWidth="1"/>
    <col min="12" max="12" width="11.57421875" style="159" customWidth="1"/>
    <col min="13" max="13" width="10.8515625" style="159" customWidth="1"/>
    <col min="14" max="14" width="10.28125" style="159" customWidth="1"/>
    <col min="15" max="16" width="8.57421875" style="1" customWidth="1"/>
    <col min="17" max="17" width="14.421875" style="1" customWidth="1"/>
    <col min="18" max="18" width="8.57421875" style="1" customWidth="1"/>
    <col min="19" max="19" width="16.140625" style="1" customWidth="1"/>
    <col min="20" max="20" width="10.8515625" style="1" customWidth="1"/>
    <col min="21" max="21" width="8.421875" style="1" customWidth="1"/>
    <col min="22" max="22" width="15.57421875" style="1" customWidth="1"/>
    <col min="23" max="23" width="7.28125" style="1" customWidth="1"/>
    <col min="24" max="24" width="8.421875" style="1" customWidth="1"/>
    <col min="25" max="25" width="11.57421875" style="1" customWidth="1"/>
    <col min="26" max="26" width="12.28125" style="1" customWidth="1"/>
    <col min="27" max="27" width="8.140625" style="1" customWidth="1"/>
    <col min="28" max="28" width="14.00390625" style="1" customWidth="1"/>
    <col min="29" max="29" width="11.140625" style="1" customWidth="1"/>
    <col min="30" max="30" width="10.28125" style="1" bestFit="1" customWidth="1"/>
    <col min="31" max="31" width="8.140625" style="1" customWidth="1"/>
    <col min="32" max="32" width="12.2812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5.421875" style="1" customWidth="1"/>
    <col min="42"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9" ht="60.75" customHeight="1" thickBot="1" thickTop="1">
      <c r="C2" s="1358"/>
      <c r="D2" s="1359"/>
      <c r="E2" s="1359"/>
      <c r="F2" s="1359"/>
      <c r="G2" s="1359"/>
      <c r="H2" s="1359"/>
      <c r="I2" s="1359"/>
      <c r="J2" s="1359"/>
      <c r="K2" s="1359"/>
      <c r="L2" s="1359"/>
      <c r="M2" s="1360"/>
      <c r="N2" s="4"/>
      <c r="O2" s="5"/>
      <c r="P2" s="5" t="e">
        <f>VLOOKUP(AC2,'JFSQ p70'!A11:K58,11)*0.2*2</f>
        <v>#N/A</v>
      </c>
      <c r="Q2" s="5"/>
      <c r="R2" s="5"/>
      <c r="S2" s="5"/>
      <c r="T2" s="5"/>
      <c r="U2" s="5"/>
      <c r="V2" s="5"/>
      <c r="W2" s="5"/>
      <c r="X2" s="5"/>
      <c r="Y2" s="5"/>
      <c r="Z2" s="5"/>
      <c r="AA2" s="5"/>
      <c r="AB2" s="5"/>
      <c r="AC2" s="1400" t="s">
        <v>256</v>
      </c>
      <c r="AD2" s="1401"/>
      <c r="AE2" s="1401"/>
      <c r="AF2" s="1401"/>
      <c r="AG2" s="1401"/>
      <c r="AH2" s="3"/>
      <c r="AL2" s="1" t="s">
        <v>257</v>
      </c>
      <c r="AM2" s="1" t="s">
        <v>258</v>
      </c>
    </row>
    <row r="3" spans="3:39"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c r="AL3" s="1">
        <v>332000000000000</v>
      </c>
      <c r="AM3" s="35">
        <f>AL3*1.055/42000000000</f>
        <v>8339.52380952381</v>
      </c>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6"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Canada</v>
      </c>
    </row>
    <row r="9" spans="3:39" ht="13.5" customHeight="1" thickBo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1365" t="s">
        <v>33</v>
      </c>
      <c r="AK9" s="1366"/>
      <c r="AL9" s="535">
        <v>33098932</v>
      </c>
      <c r="AM9" s="35"/>
    </row>
    <row r="10" spans="3:40" ht="39" customHeight="1" thickBo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439" t="s">
        <v>348</v>
      </c>
      <c r="AK10" s="1440"/>
      <c r="AN10" s="1450"/>
    </row>
    <row r="11" spans="3:40" ht="17.2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441"/>
      <c r="AK11" s="1442"/>
      <c r="AL11" s="537">
        <f>AQ17/AL9</f>
        <v>1.4444458879806223</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182">
        <v>199570000</v>
      </c>
      <c r="I13" s="183">
        <v>6740000</v>
      </c>
      <c r="J13" s="184">
        <v>4980000</v>
      </c>
      <c r="K13" s="423">
        <v>201330000</v>
      </c>
      <c r="L13" s="185">
        <v>147400000</v>
      </c>
      <c r="M13" s="186">
        <v>23060000</v>
      </c>
      <c r="N13" s="186">
        <v>92150000</v>
      </c>
      <c r="O13" s="187">
        <v>0</v>
      </c>
      <c r="P13" s="187">
        <v>0</v>
      </c>
      <c r="Q13" s="187">
        <v>0</v>
      </c>
      <c r="R13" s="211">
        <v>0</v>
      </c>
      <c r="S13" s="212">
        <v>0</v>
      </c>
      <c r="T13" s="424">
        <v>0</v>
      </c>
      <c r="U13" s="425">
        <v>0</v>
      </c>
      <c r="V13" s="519">
        <v>0</v>
      </c>
      <c r="W13" s="212">
        <v>0</v>
      </c>
      <c r="X13" s="254">
        <v>0</v>
      </c>
      <c r="Y13" s="216">
        <v>0</v>
      </c>
      <c r="Z13" s="217">
        <v>0</v>
      </c>
      <c r="AA13" s="218">
        <v>0</v>
      </c>
      <c r="AB13" s="219">
        <v>0</v>
      </c>
      <c r="AC13" s="217">
        <v>0</v>
      </c>
      <c r="AD13" s="218">
        <v>0</v>
      </c>
      <c r="AE13" s="218">
        <v>0</v>
      </c>
      <c r="AF13" s="219">
        <v>0</v>
      </c>
      <c r="AG13" s="31"/>
      <c r="AH13" s="51" t="s">
        <v>62</v>
      </c>
      <c r="AK13" s="53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188">
        <v>2900000</v>
      </c>
      <c r="I14" s="189">
        <v>230000</v>
      </c>
      <c r="J14" s="190">
        <v>50000</v>
      </c>
      <c r="K14" s="426">
        <v>3080000</v>
      </c>
      <c r="L14" s="220">
        <v>0</v>
      </c>
      <c r="M14" s="221">
        <v>0</v>
      </c>
      <c r="N14" s="221">
        <v>0</v>
      </c>
      <c r="O14" s="222">
        <v>0</v>
      </c>
      <c r="P14" s="192">
        <v>0</v>
      </c>
      <c r="Q14" s="199">
        <v>0</v>
      </c>
      <c r="R14" s="223">
        <v>0</v>
      </c>
      <c r="S14" s="193">
        <v>0</v>
      </c>
      <c r="T14" s="192">
        <v>0</v>
      </c>
      <c r="U14" s="194">
        <v>0</v>
      </c>
      <c r="V14" s="520">
        <v>0</v>
      </c>
      <c r="W14" s="193">
        <v>0</v>
      </c>
      <c r="X14" s="193">
        <v>0</v>
      </c>
      <c r="Y14" s="224">
        <v>0</v>
      </c>
      <c r="Z14" s="225">
        <v>0</v>
      </c>
      <c r="AA14" s="196">
        <v>0</v>
      </c>
      <c r="AB14" s="522">
        <v>0</v>
      </c>
      <c r="AC14" s="62">
        <v>0</v>
      </c>
      <c r="AD14" s="192">
        <v>0</v>
      </c>
      <c r="AE14" s="194">
        <v>0</v>
      </c>
      <c r="AF14" s="522">
        <v>3080000</v>
      </c>
      <c r="AG14" s="31"/>
      <c r="AH14" s="60" t="s">
        <v>71</v>
      </c>
      <c r="AK14" s="63" t="s">
        <v>73</v>
      </c>
      <c r="AL14" s="64" t="str">
        <f>IF(V13+V14+V15+V16+V17+(V20*Assumptions!F20)=0,"n.a.",V13+V14+V15+V16+V17+(V20*Assumptions!F20))</f>
        <v>n.a.</v>
      </c>
      <c r="AM14" s="64" t="str">
        <f>IF(AB14+AB15+AB16+AB17+(AB20*Assumptions!F20)=0,"n.a.",AB14+AB15+AB16+AB17+(AB20*Assumptions!F20))</f>
        <v>n.a.</v>
      </c>
      <c r="AN14" s="65">
        <f>IF(AF14+AF15+AF16+AF17+(AF20*Assumptions!F20)=0,"n.a.",AF14+AF15+AF16+AF17+(AF20*Assumptions!F20))</f>
        <v>3080000</v>
      </c>
      <c r="AO14" s="66">
        <f>SUM(AL14:AN14)</f>
        <v>3080000</v>
      </c>
      <c r="AP14" s="67">
        <f>AO14/$AO$19</f>
        <v>0.06442218623074981</v>
      </c>
      <c r="AQ14" s="57"/>
    </row>
    <row r="15" spans="3:43" ht="38.25" customHeight="1" thickBot="1">
      <c r="C15" s="51" t="s">
        <v>74</v>
      </c>
      <c r="D15" s="5"/>
      <c r="E15" s="1391"/>
      <c r="F15" s="61" t="s">
        <v>75</v>
      </c>
      <c r="G15" s="53" t="s">
        <v>65</v>
      </c>
      <c r="H15" s="188">
        <v>0</v>
      </c>
      <c r="I15" s="189">
        <v>0</v>
      </c>
      <c r="J15" s="190">
        <v>0</v>
      </c>
      <c r="K15" s="426">
        <v>0</v>
      </c>
      <c r="L15" s="220">
        <v>0</v>
      </c>
      <c r="M15" s="197">
        <v>0</v>
      </c>
      <c r="N15" s="197">
        <v>0</v>
      </c>
      <c r="O15" s="199">
        <v>0</v>
      </c>
      <c r="P15" s="199">
        <v>0</v>
      </c>
      <c r="Q15" s="199">
        <v>0</v>
      </c>
      <c r="R15" s="223">
        <v>0</v>
      </c>
      <c r="S15" s="193">
        <v>0</v>
      </c>
      <c r="T15" s="192">
        <v>0</v>
      </c>
      <c r="U15" s="194">
        <v>0</v>
      </c>
      <c r="V15" s="520">
        <v>0</v>
      </c>
      <c r="W15" s="193">
        <v>0</v>
      </c>
      <c r="X15" s="193">
        <v>0</v>
      </c>
      <c r="Y15" s="224">
        <v>0</v>
      </c>
      <c r="Z15" s="225">
        <v>0</v>
      </c>
      <c r="AA15" s="196">
        <v>0</v>
      </c>
      <c r="AB15" s="522">
        <v>0</v>
      </c>
      <c r="AC15" s="192">
        <v>0</v>
      </c>
      <c r="AD15" s="192">
        <v>0</v>
      </c>
      <c r="AE15" s="194">
        <v>0</v>
      </c>
      <c r="AF15" s="522">
        <v>0</v>
      </c>
      <c r="AG15" s="31"/>
      <c r="AH15" s="51" t="s">
        <v>74</v>
      </c>
      <c r="AK15" s="63" t="s">
        <v>76</v>
      </c>
      <c r="AL15" s="68">
        <f>IF(V18+V19+(V23*Assumptions!F9)+(V24*Assumptions!F6)+(V22*Assumptions!F16)+V25=0,"n.a.",V18+V19+(V23*Assumptions!F9)+(V24*Assumptions!F6)+(V22*Assumptions!F16)+V25)</f>
        <v>20401616.223950233</v>
      </c>
      <c r="AM15" s="68">
        <f>IF(AB18+AB19+(AB23*Assumptions!F9)+(AB24*Assumptions!F6)+(AB25)+(AB22*Assumptions!F16)=0,"n.a.",AB18+AB19+(AB23*Assumptions!F9)+(AB24*Assumptions!F6)+(AB25)+(AB22*Assumptions!F16))</f>
        <v>24178000</v>
      </c>
      <c r="AN15" s="69">
        <f>IF(AF18+AF19+(AF23*Assumptions!F9)+(AF24*Assumptions!F6)+(AF22*Assumptions!F16)=0,"n.a.",AF18+AF19+(AF23*Assumptions!F9)+(AF24*Assumptions!F6)+(AF22*Assumptions!F16))</f>
        <v>150000</v>
      </c>
      <c r="AO15" s="66">
        <f>SUM(AL15:AN15)</f>
        <v>44729616.22395024</v>
      </c>
      <c r="AP15" s="67">
        <f>AO15/$AO$19</f>
        <v>0.9355778137692502</v>
      </c>
      <c r="AQ15" s="57"/>
    </row>
    <row r="16" spans="3:43" ht="38.25" customHeight="1" thickBot="1">
      <c r="C16" s="60" t="s">
        <v>77</v>
      </c>
      <c r="D16" s="5"/>
      <c r="E16" s="1391"/>
      <c r="F16" s="61" t="s">
        <v>78</v>
      </c>
      <c r="G16" s="53" t="s">
        <v>65</v>
      </c>
      <c r="H16" s="188">
        <v>0</v>
      </c>
      <c r="I16" s="189">
        <v>0</v>
      </c>
      <c r="J16" s="190">
        <v>0</v>
      </c>
      <c r="K16" s="426">
        <v>0</v>
      </c>
      <c r="L16" s="220">
        <v>0</v>
      </c>
      <c r="M16" s="197">
        <v>0</v>
      </c>
      <c r="N16" s="197">
        <v>0</v>
      </c>
      <c r="O16" s="199">
        <v>0</v>
      </c>
      <c r="P16" s="199">
        <v>0</v>
      </c>
      <c r="Q16" s="199">
        <v>0</v>
      </c>
      <c r="R16" s="223">
        <v>0</v>
      </c>
      <c r="S16" s="193">
        <v>0</v>
      </c>
      <c r="T16" s="192">
        <v>0</v>
      </c>
      <c r="U16" s="194">
        <v>0</v>
      </c>
      <c r="V16" s="520">
        <v>0</v>
      </c>
      <c r="W16" s="193">
        <v>0</v>
      </c>
      <c r="X16" s="193">
        <v>0</v>
      </c>
      <c r="Y16" s="224">
        <v>0</v>
      </c>
      <c r="Z16" s="225">
        <v>0</v>
      </c>
      <c r="AA16" s="196">
        <v>0</v>
      </c>
      <c r="AB16" s="523">
        <v>0</v>
      </c>
      <c r="AC16" s="192">
        <v>0</v>
      </c>
      <c r="AD16" s="192">
        <v>0</v>
      </c>
      <c r="AE16" s="194">
        <v>0</v>
      </c>
      <c r="AF16" s="522">
        <v>0</v>
      </c>
      <c r="AG16" s="31"/>
      <c r="AH16" s="60" t="s">
        <v>77</v>
      </c>
      <c r="AK16" s="430" t="s">
        <v>79</v>
      </c>
      <c r="AL16" s="70" t="str">
        <f>IF(V21*Assumptions!F20=0,"n.a.",V21*Assumptions!F20)</f>
        <v>n.a.</v>
      </c>
      <c r="AM16" s="70" t="str">
        <f>IF(AB21*Assumptions!F20=0,"n.a.",AB21*Assumptions!F20)</f>
        <v>n.a.</v>
      </c>
      <c r="AN16" s="71" t="str">
        <f>IF(AF21*Assumptions!F20=0,"n.a.",AF21*Assumptions!F20)</f>
        <v>n.a.</v>
      </c>
      <c r="AO16" s="72">
        <f>SUM(AL16:AN16)</f>
        <v>0</v>
      </c>
      <c r="AP16" s="67">
        <f>AO16/$AO$19</f>
        <v>0</v>
      </c>
      <c r="AQ16" s="73"/>
    </row>
    <row r="17" spans="3:43" ht="38.25" customHeight="1" thickBot="1" thickTop="1">
      <c r="C17" s="51" t="s">
        <v>80</v>
      </c>
      <c r="D17" s="5"/>
      <c r="E17" s="1391"/>
      <c r="F17" s="61" t="s">
        <v>81</v>
      </c>
      <c r="G17" s="53" t="s">
        <v>65</v>
      </c>
      <c r="H17" s="188">
        <v>0</v>
      </c>
      <c r="I17" s="189">
        <v>0</v>
      </c>
      <c r="J17" s="190">
        <v>0</v>
      </c>
      <c r="K17" s="426">
        <v>0</v>
      </c>
      <c r="L17" s="220">
        <v>0</v>
      </c>
      <c r="M17" s="197">
        <v>0</v>
      </c>
      <c r="N17" s="197">
        <v>0</v>
      </c>
      <c r="O17" s="199">
        <v>0</v>
      </c>
      <c r="P17" s="199">
        <v>0</v>
      </c>
      <c r="Q17" s="199">
        <v>0</v>
      </c>
      <c r="R17" s="223">
        <v>0</v>
      </c>
      <c r="S17" s="193">
        <v>0</v>
      </c>
      <c r="T17" s="192">
        <v>0</v>
      </c>
      <c r="U17" s="194">
        <v>0</v>
      </c>
      <c r="V17" s="520">
        <v>0</v>
      </c>
      <c r="W17" s="193">
        <v>0</v>
      </c>
      <c r="X17" s="193">
        <v>0</v>
      </c>
      <c r="Y17" s="224">
        <v>0</v>
      </c>
      <c r="Z17" s="225">
        <v>0</v>
      </c>
      <c r="AA17" s="196">
        <v>0</v>
      </c>
      <c r="AB17" s="522">
        <v>0</v>
      </c>
      <c r="AC17" s="192">
        <v>0</v>
      </c>
      <c r="AD17" s="192">
        <v>0</v>
      </c>
      <c r="AE17" s="194">
        <v>0</v>
      </c>
      <c r="AF17" s="522">
        <v>0</v>
      </c>
      <c r="AG17" s="31"/>
      <c r="AH17" s="51" t="s">
        <v>80</v>
      </c>
      <c r="AK17" s="431" t="s">
        <v>354</v>
      </c>
      <c r="AL17" s="429">
        <f>SUM(AL14:AL16)</f>
        <v>20401616.223950233</v>
      </c>
      <c r="AM17" s="75">
        <f>SUM(AM14:AM16)</f>
        <v>24178000</v>
      </c>
      <c r="AN17" s="75">
        <f>SUM(AN14:AN16)</f>
        <v>3230000</v>
      </c>
      <c r="AO17" s="1443"/>
      <c r="AP17" s="1444"/>
      <c r="AQ17" s="76">
        <f>SUM(AL17:AN17)</f>
        <v>47809616.22395024</v>
      </c>
    </row>
    <row r="18" spans="3:43" ht="38.25" customHeight="1" thickBot="1" thickTop="1">
      <c r="C18" s="60" t="s">
        <v>82</v>
      </c>
      <c r="D18" s="5"/>
      <c r="E18" s="1391"/>
      <c r="F18" s="61" t="s">
        <v>83</v>
      </c>
      <c r="G18" s="53" t="s">
        <v>65</v>
      </c>
      <c r="H18" s="188">
        <v>25638700</v>
      </c>
      <c r="I18" s="189">
        <v>0</v>
      </c>
      <c r="J18" s="190">
        <v>650000</v>
      </c>
      <c r="K18" s="426">
        <v>24988700</v>
      </c>
      <c r="L18" s="220"/>
      <c r="M18" s="197"/>
      <c r="N18" s="197"/>
      <c r="O18" s="199"/>
      <c r="P18" s="199"/>
      <c r="Q18" s="199"/>
      <c r="R18" s="223"/>
      <c r="S18" s="193"/>
      <c r="T18" s="192"/>
      <c r="U18" s="194"/>
      <c r="V18" s="526">
        <f>(Y18/0.3215)*2</f>
        <v>20401616.223950233</v>
      </c>
      <c r="W18" s="193">
        <v>137312</v>
      </c>
      <c r="X18" s="193"/>
      <c r="Y18" s="224">
        <v>3279559.808</v>
      </c>
      <c r="Z18" s="225"/>
      <c r="AA18" s="196"/>
      <c r="AB18" s="528"/>
      <c r="AC18" s="192"/>
      <c r="AD18" s="192"/>
      <c r="AE18" s="194"/>
      <c r="AF18" s="528"/>
      <c r="AG18" s="31"/>
      <c r="AH18" s="60" t="s">
        <v>82</v>
      </c>
      <c r="AK18" s="431" t="s">
        <v>70</v>
      </c>
      <c r="AL18" s="78">
        <f>AL17/$AQ$17</f>
        <v>0.4267262077232496</v>
      </c>
      <c r="AM18" s="78">
        <f>AM17/$AQ$17</f>
        <v>0.5057141619113861</v>
      </c>
      <c r="AN18" s="78">
        <f>AN17/$AQ$17</f>
        <v>0.06755963036536426</v>
      </c>
      <c r="AO18" s="1445"/>
      <c r="AP18" s="1446"/>
      <c r="AQ18" s="57"/>
    </row>
    <row r="19" spans="3:43" ht="38.25" customHeight="1" thickBot="1">
      <c r="C19" s="51" t="s">
        <v>84</v>
      </c>
      <c r="D19" s="5"/>
      <c r="E19" s="1391"/>
      <c r="F19" s="61" t="s">
        <v>409</v>
      </c>
      <c r="G19" s="53" t="s">
        <v>65</v>
      </c>
      <c r="H19" s="198"/>
      <c r="I19" s="189"/>
      <c r="J19" s="190"/>
      <c r="K19" s="426">
        <v>0</v>
      </c>
      <c r="L19" s="220"/>
      <c r="M19" s="197"/>
      <c r="N19" s="197"/>
      <c r="O19" s="199"/>
      <c r="P19" s="199"/>
      <c r="Q19" s="199"/>
      <c r="R19" s="223"/>
      <c r="S19" s="193"/>
      <c r="T19" s="192"/>
      <c r="U19" s="194"/>
      <c r="V19" s="526"/>
      <c r="W19" s="193"/>
      <c r="X19" s="193"/>
      <c r="Y19" s="224">
        <v>0</v>
      </c>
      <c r="Z19" s="225"/>
      <c r="AA19" s="196"/>
      <c r="AB19" s="529"/>
      <c r="AC19" s="192"/>
      <c r="AD19" s="192"/>
      <c r="AE19" s="194"/>
      <c r="AF19" s="528"/>
      <c r="AG19" s="31"/>
      <c r="AH19" s="51" t="s">
        <v>84</v>
      </c>
      <c r="AK19" s="1447"/>
      <c r="AL19" s="1447"/>
      <c r="AM19" s="1447"/>
      <c r="AN19" s="1448"/>
      <c r="AO19" s="79">
        <f>SUM(AO14:AO16)</f>
        <v>47809616.22395024</v>
      </c>
      <c r="AP19" s="1449"/>
      <c r="AQ19" s="1447"/>
    </row>
    <row r="20" spans="3:43" ht="28.5" customHeight="1" thickBot="1">
      <c r="C20" s="60" t="s">
        <v>85</v>
      </c>
      <c r="D20" s="5"/>
      <c r="E20" s="1391"/>
      <c r="F20" s="61" t="s">
        <v>86</v>
      </c>
      <c r="G20" s="80" t="s">
        <v>87</v>
      </c>
      <c r="H20" s="198"/>
      <c r="I20" s="189"/>
      <c r="J20" s="190"/>
      <c r="K20" s="426">
        <v>0</v>
      </c>
      <c r="L20" s="220"/>
      <c r="M20" s="197"/>
      <c r="N20" s="197"/>
      <c r="O20" s="199"/>
      <c r="P20" s="199"/>
      <c r="Q20" s="199"/>
      <c r="R20" s="223"/>
      <c r="S20" s="226"/>
      <c r="T20" s="227"/>
      <c r="U20" s="228"/>
      <c r="V20" s="520">
        <v>0</v>
      </c>
      <c r="W20" s="193"/>
      <c r="X20" s="193"/>
      <c r="Y20" s="224">
        <v>0</v>
      </c>
      <c r="Z20" s="200"/>
      <c r="AA20" s="201"/>
      <c r="AB20" s="524"/>
      <c r="AC20" s="192"/>
      <c r="AD20" s="227"/>
      <c r="AE20" s="201"/>
      <c r="AF20" s="522"/>
      <c r="AG20" s="31"/>
      <c r="AH20" s="60" t="s">
        <v>85</v>
      </c>
      <c r="AK20" s="57"/>
      <c r="AL20" s="545"/>
      <c r="AM20" s="57"/>
      <c r="AN20" s="57"/>
      <c r="AO20" s="82"/>
      <c r="AP20" s="81"/>
      <c r="AQ20" s="57"/>
    </row>
    <row r="21" spans="3:43" ht="28.5" customHeight="1" thickBot="1">
      <c r="C21" s="51" t="s">
        <v>88</v>
      </c>
      <c r="D21" s="5"/>
      <c r="E21" s="1391"/>
      <c r="F21" s="83" t="s">
        <v>89</v>
      </c>
      <c r="G21" s="84" t="s">
        <v>87</v>
      </c>
      <c r="H21" s="198"/>
      <c r="I21" s="86"/>
      <c r="J21" s="87">
        <v>0</v>
      </c>
      <c r="K21" s="88">
        <v>0</v>
      </c>
      <c r="L21" s="89"/>
      <c r="M21" s="90"/>
      <c r="N21" s="90"/>
      <c r="O21" s="91"/>
      <c r="P21" s="91"/>
      <c r="Q21" s="91"/>
      <c r="R21" s="92"/>
      <c r="S21" s="93"/>
      <c r="T21" s="94"/>
      <c r="U21" s="95"/>
      <c r="V21" s="516">
        <v>0</v>
      </c>
      <c r="W21" s="193"/>
      <c r="X21" s="193"/>
      <c r="Y21" s="224">
        <v>0</v>
      </c>
      <c r="Z21" s="225"/>
      <c r="AA21" s="196"/>
      <c r="AB21" s="532"/>
      <c r="AC21" s="192"/>
      <c r="AD21" s="192"/>
      <c r="AE21" s="194"/>
      <c r="AF21" s="532"/>
      <c r="AG21" s="31"/>
      <c r="AH21" s="51" t="s">
        <v>88</v>
      </c>
      <c r="AJ21" s="1">
        <v>1000</v>
      </c>
      <c r="AK21" s="57"/>
      <c r="AL21" s="57"/>
      <c r="AM21" s="57"/>
      <c r="AN21" s="538" t="s">
        <v>47</v>
      </c>
      <c r="AO21" s="539" t="s">
        <v>70</v>
      </c>
      <c r="AP21" s="81"/>
      <c r="AQ21" s="57"/>
    </row>
    <row r="22" spans="3:43" ht="28.5" customHeight="1" thickBot="1">
      <c r="C22" s="60" t="s">
        <v>90</v>
      </c>
      <c r="D22" s="5"/>
      <c r="E22" s="1391"/>
      <c r="F22" s="61" t="s">
        <v>91</v>
      </c>
      <c r="G22" s="80" t="s">
        <v>92</v>
      </c>
      <c r="H22" s="188">
        <v>30616905</v>
      </c>
      <c r="I22" s="189">
        <v>0</v>
      </c>
      <c r="J22" s="190">
        <v>975000</v>
      </c>
      <c r="K22" s="426">
        <v>29641905</v>
      </c>
      <c r="L22" s="220"/>
      <c r="M22" s="197"/>
      <c r="N22" s="221"/>
      <c r="O22" s="199"/>
      <c r="P22" s="199"/>
      <c r="Q22" s="221"/>
      <c r="R22" s="231"/>
      <c r="S22" s="193"/>
      <c r="T22" s="192"/>
      <c r="U22" s="194"/>
      <c r="V22" s="526">
        <v>0</v>
      </c>
      <c r="W22" s="193"/>
      <c r="X22" s="193"/>
      <c r="Y22" s="224">
        <v>0</v>
      </c>
      <c r="Z22" s="225">
        <v>20000000</v>
      </c>
      <c r="AA22" s="196"/>
      <c r="AB22" s="529">
        <f>SUM(Z22:AA22)</f>
        <v>20000000</v>
      </c>
      <c r="AC22" s="192"/>
      <c r="AD22" s="192"/>
      <c r="AE22" s="194"/>
      <c r="AF22" s="529"/>
      <c r="AG22" s="31"/>
      <c r="AH22" s="60" t="s">
        <v>90</v>
      </c>
      <c r="AK22" s="57"/>
      <c r="AL22" s="96" t="s">
        <v>349</v>
      </c>
      <c r="AM22" s="97"/>
      <c r="AN22" s="98">
        <f>(K13+K14+2*K20)</f>
        <v>204410000</v>
      </c>
      <c r="AO22" s="99">
        <v>1</v>
      </c>
      <c r="AP22" s="81"/>
      <c r="AQ22" s="57"/>
    </row>
    <row r="23" spans="3:41" ht="28.5" customHeight="1" thickBot="1">
      <c r="C23" s="51" t="s">
        <v>94</v>
      </c>
      <c r="D23" s="5"/>
      <c r="E23" s="1391"/>
      <c r="F23" s="61" t="s">
        <v>95</v>
      </c>
      <c r="G23" s="80" t="s">
        <v>96</v>
      </c>
      <c r="H23" s="188"/>
      <c r="I23" s="189"/>
      <c r="J23" s="190"/>
      <c r="K23" s="426">
        <v>0</v>
      </c>
      <c r="L23" s="220"/>
      <c r="M23" s="221"/>
      <c r="N23" s="221"/>
      <c r="O23" s="221"/>
      <c r="P23" s="221"/>
      <c r="Q23" s="221"/>
      <c r="R23" s="222"/>
      <c r="S23" s="205"/>
      <c r="T23" s="192"/>
      <c r="U23" s="194"/>
      <c r="V23" s="526">
        <v>0</v>
      </c>
      <c r="W23" s="193"/>
      <c r="X23" s="193"/>
      <c r="Y23" s="224">
        <v>0</v>
      </c>
      <c r="Z23" s="225"/>
      <c r="AA23" s="196"/>
      <c r="AB23" s="528"/>
      <c r="AC23" s="192"/>
      <c r="AD23" s="192"/>
      <c r="AE23" s="194"/>
      <c r="AF23" s="529"/>
      <c r="AG23" s="31"/>
      <c r="AH23" s="51" t="s">
        <v>94</v>
      </c>
      <c r="AL23" s="96" t="s">
        <v>93</v>
      </c>
      <c r="AM23" s="97"/>
      <c r="AN23" s="100">
        <f>AQ17</f>
        <v>47809616.22395024</v>
      </c>
      <c r="AO23" s="101">
        <f>AN23/AN22</f>
        <v>0.2338907892175052</v>
      </c>
    </row>
    <row r="24" spans="3:41" ht="28.5" customHeight="1" thickBot="1">
      <c r="C24" s="60" t="s">
        <v>97</v>
      </c>
      <c r="D24" s="5"/>
      <c r="E24" s="1391"/>
      <c r="F24" s="61" t="s">
        <v>98</v>
      </c>
      <c r="G24" s="102" t="s">
        <v>99</v>
      </c>
      <c r="H24" s="188">
        <v>700000</v>
      </c>
      <c r="I24" s="189">
        <v>0</v>
      </c>
      <c r="J24" s="190">
        <v>625000</v>
      </c>
      <c r="K24" s="426">
        <v>75000</v>
      </c>
      <c r="L24" s="220"/>
      <c r="M24" s="221"/>
      <c r="N24" s="221"/>
      <c r="O24" s="221"/>
      <c r="P24" s="221"/>
      <c r="Q24" s="221"/>
      <c r="R24" s="222"/>
      <c r="S24" s="205"/>
      <c r="T24" s="192"/>
      <c r="U24" s="194"/>
      <c r="V24" s="526">
        <v>0</v>
      </c>
      <c r="W24" s="193"/>
      <c r="X24" s="193"/>
      <c r="Y24" s="224">
        <v>0</v>
      </c>
      <c r="Z24" s="225"/>
      <c r="AA24" s="196"/>
      <c r="AB24" s="528"/>
      <c r="AC24" s="192">
        <v>75000</v>
      </c>
      <c r="AD24" s="192"/>
      <c r="AE24" s="194"/>
      <c r="AF24" s="529">
        <f>SUM(AC24:AE24)</f>
        <v>75000</v>
      </c>
      <c r="AG24" s="31"/>
      <c r="AH24" s="60" t="s">
        <v>97</v>
      </c>
      <c r="AL24" s="96" t="s">
        <v>551</v>
      </c>
      <c r="AM24" s="97"/>
      <c r="AN24" s="98"/>
      <c r="AO24" s="99">
        <f>AO14/AN23</f>
        <v>0.06442218623074981</v>
      </c>
    </row>
    <row r="25" spans="3:41" ht="28.5" customHeight="1" thickBot="1">
      <c r="C25" s="104" t="s">
        <v>100</v>
      </c>
      <c r="D25" s="5"/>
      <c r="E25" s="1392"/>
      <c r="F25" s="105" t="s">
        <v>101</v>
      </c>
      <c r="G25" s="106"/>
      <c r="H25" s="232"/>
      <c r="I25" s="232"/>
      <c r="J25" s="233"/>
      <c r="K25" s="261">
        <v>0</v>
      </c>
      <c r="L25" s="232"/>
      <c r="M25" s="234"/>
      <c r="N25" s="234"/>
      <c r="O25" s="234"/>
      <c r="P25" s="234"/>
      <c r="Q25" s="234"/>
      <c r="R25" s="233"/>
      <c r="S25" s="232"/>
      <c r="T25" s="234"/>
      <c r="U25" s="233"/>
      <c r="V25" s="526"/>
      <c r="W25" s="193"/>
      <c r="X25" s="193"/>
      <c r="Y25" s="224">
        <v>0</v>
      </c>
      <c r="Z25" s="237"/>
      <c r="AA25" s="238"/>
      <c r="AB25" s="528">
        <f>VLOOKUP(AC2,'JFSQ p70'!6:58,11,FALSE)*1000*Assumptions!F20</f>
        <v>20178000</v>
      </c>
      <c r="AC25" s="232"/>
      <c r="AD25" s="234"/>
      <c r="AE25" s="239"/>
      <c r="AF25" s="224"/>
      <c r="AG25" s="31"/>
      <c r="AH25" s="104" t="s">
        <v>100</v>
      </c>
      <c r="AL25" s="96" t="s">
        <v>552</v>
      </c>
      <c r="AM25" s="103"/>
      <c r="AN25" s="100">
        <f>IF(AB25+V25=0,"n.a.",AB25+V25)</f>
        <v>20178000</v>
      </c>
      <c r="AO25" s="421">
        <f>IF(AN25/AN23=0,"n.a.",AN25/AN23)</f>
        <v>0.4220489849883344</v>
      </c>
    </row>
    <row r="26" spans="3:43" s="108" customFormat="1" ht="28.5" customHeight="1" thickBot="1">
      <c r="C26" s="104" t="s">
        <v>103</v>
      </c>
      <c r="D26" s="109"/>
      <c r="E26" s="110"/>
      <c r="F26" s="111"/>
      <c r="G26" s="112"/>
      <c r="H26" s="113"/>
      <c r="I26" s="113"/>
      <c r="J26" s="113"/>
      <c r="K26" s="113"/>
      <c r="L26" s="114"/>
      <c r="M26" s="114"/>
      <c r="N26" s="114"/>
      <c r="O26" s="115"/>
      <c r="P26" s="115"/>
      <c r="Q26" s="116"/>
      <c r="R26" s="117" t="s">
        <v>104</v>
      </c>
      <c r="S26" s="208">
        <v>476395.8</v>
      </c>
      <c r="T26" s="244">
        <v>75814.2</v>
      </c>
      <c r="U26" s="263"/>
      <c r="V26" s="264">
        <f>SUM(S26:T26)</f>
        <v>552210</v>
      </c>
      <c r="W26" s="118"/>
      <c r="X26" s="119"/>
      <c r="Y26" s="122">
        <v>0</v>
      </c>
      <c r="Z26" s="123"/>
      <c r="AA26" s="124"/>
      <c r="AB26" s="125"/>
      <c r="AC26" s="123">
        <v>109000.5</v>
      </c>
      <c r="AD26" s="126"/>
      <c r="AE26" s="124"/>
      <c r="AF26" s="125"/>
      <c r="AG26" s="127"/>
      <c r="AH26" s="104" t="s">
        <v>103</v>
      </c>
      <c r="AJ26" s="1"/>
      <c r="AK26" s="1"/>
      <c r="AL26" s="96" t="s">
        <v>102</v>
      </c>
      <c r="AM26" s="97"/>
      <c r="AN26" s="107">
        <f>AO14/AL9</f>
        <v>0.09305436199572845</v>
      </c>
      <c r="AO26" s="540"/>
      <c r="AP26" s="1"/>
      <c r="AQ26" s="1"/>
    </row>
    <row r="27" spans="3:41"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p70'!6:58,11,FALSE)*1000*Assumptions!F20</f>
        <v>20178000</v>
      </c>
      <c r="AC27" s="134"/>
      <c r="AD27" s="5"/>
      <c r="AE27" s="5"/>
      <c r="AF27" s="135"/>
      <c r="AG27" s="31"/>
      <c r="AH27" s="136"/>
      <c r="AL27" s="96" t="s">
        <v>105</v>
      </c>
      <c r="AM27" s="103"/>
      <c r="AN27" s="107">
        <f>((AN23/Assumptions!F20)*Assumptions!F30/1000000)</f>
        <v>10.247194410666667</v>
      </c>
      <c r="AO27" s="541"/>
    </row>
    <row r="28" spans="3:43"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row>
    <row r="29" spans="3:43"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355</v>
      </c>
      <c r="AK29" s="1287"/>
      <c r="AL29" s="1287"/>
      <c r="AM29" s="1287"/>
      <c r="AN29" s="1287"/>
      <c r="AO29" s="1287"/>
      <c r="AP29" s="1287"/>
      <c r="AQ29" s="1287"/>
    </row>
    <row r="30" spans="3:43"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row>
    <row r="31" spans="3:43" ht="15.75" customHeight="1" thickBot="1">
      <c r="C31" s="13"/>
      <c r="D31" s="5"/>
      <c r="E31" s="1418" t="s">
        <v>108</v>
      </c>
      <c r="F31" s="1419"/>
      <c r="G31" s="1419"/>
      <c r="H31" s="1420"/>
      <c r="I31" s="4"/>
      <c r="J31" s="4"/>
      <c r="K31" s="4"/>
      <c r="L31" s="4"/>
      <c r="M31" s="4"/>
      <c r="N31" s="4"/>
      <c r="O31" s="5"/>
      <c r="P31" s="5"/>
      <c r="Q31" s="5"/>
      <c r="R31" s="5"/>
      <c r="S31" s="5"/>
      <c r="T31" s="5"/>
      <c r="U31" s="5"/>
      <c r="V31" s="5">
        <v>0.19</v>
      </c>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v>0.9</v>
      </c>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3"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v>0.8</v>
      </c>
      <c r="W33" s="153"/>
      <c r="X33" s="153">
        <f>X25*9.36</f>
        <v>0</v>
      </c>
      <c r="Y33" s="142" t="s">
        <v>112</v>
      </c>
      <c r="Z33" s="154" t="s">
        <v>113</v>
      </c>
      <c r="AA33" s="144"/>
      <c r="AB33" s="144"/>
      <c r="AC33" s="144"/>
      <c r="AD33" s="144"/>
      <c r="AE33" s="144"/>
      <c r="AF33" s="144"/>
      <c r="AG33" s="144"/>
      <c r="AH33" s="145"/>
      <c r="AI33" s="155"/>
      <c r="AJ33" s="1"/>
      <c r="AK33" s="1"/>
      <c r="AL33" s="1"/>
      <c r="AM33" s="1"/>
      <c r="AN33" s="1"/>
      <c r="AO33" s="1"/>
      <c r="AP33" s="1"/>
      <c r="AQ33" s="1"/>
    </row>
    <row r="34" spans="3:23" s="152" customFormat="1" ht="9.75" customHeight="1">
      <c r="C34" s="156"/>
      <c r="F34" s="157"/>
      <c r="H34" s="158"/>
      <c r="I34" s="158"/>
      <c r="J34" s="158"/>
      <c r="K34" s="158"/>
      <c r="L34" s="158"/>
      <c r="M34" s="158"/>
      <c r="N34" s="159"/>
      <c r="O34" s="1"/>
      <c r="P34" s="1"/>
      <c r="Q34" s="1"/>
      <c r="R34" s="1"/>
      <c r="V34" s="160">
        <v>7.4</v>
      </c>
      <c r="W34" s="160"/>
    </row>
    <row r="35" spans="3:22" s="152" customFormat="1" ht="9.75" customHeight="1">
      <c r="C35" s="156"/>
      <c r="F35" s="157"/>
      <c r="H35" s="158"/>
      <c r="I35" s="158"/>
      <c r="J35" s="158"/>
      <c r="K35" s="158"/>
      <c r="L35" s="158"/>
      <c r="M35" s="158"/>
      <c r="N35" s="158"/>
      <c r="V35" s="152">
        <v>0.04</v>
      </c>
    </row>
    <row r="36" spans="3:14" s="152" customFormat="1" ht="9.75" customHeight="1">
      <c r="C36" s="156"/>
      <c r="F36" s="157"/>
      <c r="H36" s="158"/>
      <c r="I36" s="158"/>
      <c r="J36" s="158"/>
      <c r="K36" s="161"/>
      <c r="L36" s="158"/>
      <c r="M36" s="158"/>
      <c r="N36" s="158"/>
    </row>
    <row r="37" spans="3:43" s="59" customFormat="1" ht="12" customHeight="1">
      <c r="C37" s="156"/>
      <c r="F37" s="162"/>
      <c r="H37" s="158"/>
      <c r="I37" s="158"/>
      <c r="J37" s="158">
        <v>1000</v>
      </c>
      <c r="K37" s="161"/>
      <c r="L37" s="163"/>
      <c r="M37" s="163"/>
      <c r="N37" s="163"/>
      <c r="W37" s="164"/>
      <c r="X37" s="164">
        <f>X33/42000</f>
        <v>0</v>
      </c>
      <c r="Y37" s="152"/>
      <c r="Z37" s="152"/>
      <c r="AA37" s="152"/>
      <c r="AB37" s="152"/>
      <c r="AC37" s="152"/>
      <c r="AG37" s="152"/>
      <c r="AH37" s="152"/>
      <c r="AJ37" s="152"/>
      <c r="AK37" s="152"/>
      <c r="AL37" s="152"/>
      <c r="AM37" s="152"/>
      <c r="AN37" s="152"/>
      <c r="AO37" s="152"/>
      <c r="AP37" s="152"/>
      <c r="AQ37" s="152"/>
    </row>
    <row r="38" spans="3:29" s="59" customFormat="1" ht="18.75">
      <c r="C38" s="156"/>
      <c r="F38" s="162"/>
      <c r="H38" s="158"/>
      <c r="I38" s="158"/>
      <c r="J38" s="158"/>
      <c r="K38" s="161"/>
      <c r="L38" s="163"/>
      <c r="M38" s="163"/>
      <c r="N38" s="163"/>
      <c r="W38" s="164"/>
      <c r="X38" s="164"/>
      <c r="Y38" s="152"/>
      <c r="Z38" s="152"/>
      <c r="AA38" s="152"/>
      <c r="AB38" s="152"/>
      <c r="AC38" s="35">
        <f>(AC14+2*AC20)*0.3215/2</f>
        <v>0</v>
      </c>
    </row>
    <row r="39" spans="8:43" ht="18.75">
      <c r="H39" s="158"/>
      <c r="I39" s="158"/>
      <c r="J39" s="158"/>
      <c r="K39" s="161"/>
      <c r="V39" s="1">
        <f>SUM(V31:V38)</f>
        <v>9.33</v>
      </c>
      <c r="Y39" s="58"/>
      <c r="Z39" s="427"/>
      <c r="AA39" s="59"/>
      <c r="AB39" s="59"/>
      <c r="AC39" s="59" t="e">
        <f>AC26*1000000/(AC14)</f>
        <v>#DIV/0!</v>
      </c>
      <c r="AG39" s="59"/>
      <c r="AH39" s="59"/>
      <c r="AJ39" s="59"/>
      <c r="AK39" s="59"/>
      <c r="AL39" s="59"/>
      <c r="AM39" s="59"/>
      <c r="AN39" s="59"/>
      <c r="AO39" s="59"/>
      <c r="AP39" s="59"/>
      <c r="AQ39" s="59"/>
    </row>
    <row r="40" spans="8:29" ht="18.75">
      <c r="H40" s="158"/>
      <c r="I40" s="158"/>
      <c r="J40" s="158"/>
      <c r="K40" s="166"/>
      <c r="T40" s="35"/>
      <c r="Y40" s="59"/>
      <c r="Z40" s="59"/>
      <c r="AA40" s="59"/>
      <c r="AB40" s="59"/>
      <c r="AC40" s="59"/>
    </row>
    <row r="41" spans="6:11" ht="18.75">
      <c r="F41" s="167"/>
      <c r="K41" s="168"/>
    </row>
    <row r="42" spans="6:11" ht="18.75">
      <c r="F42" s="167"/>
      <c r="K42" s="168"/>
    </row>
    <row r="43" ht="18.75">
      <c r="K43" s="168"/>
    </row>
    <row r="44" ht="18.75">
      <c r="T44" s="35"/>
    </row>
    <row r="45" ht="18.75">
      <c r="T45" s="35"/>
    </row>
    <row r="50" ht="18.75">
      <c r="N50" s="35"/>
    </row>
    <row r="51" ht="18.75">
      <c r="N51" s="1"/>
    </row>
    <row r="52" ht="18.75">
      <c r="N52" s="1"/>
    </row>
    <row r="53" spans="14:20" ht="18.75">
      <c r="N53" s="1"/>
      <c r="T53" s="35"/>
    </row>
    <row r="54" ht="18.75">
      <c r="N54" s="35"/>
    </row>
    <row r="55" ht="18.75">
      <c r="N55" s="35"/>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9:AK9"/>
    <mergeCell ref="N11:N12"/>
    <mergeCell ref="L9:R10"/>
    <mergeCell ref="P11:R11"/>
    <mergeCell ref="S9:AD9"/>
    <mergeCell ref="S10:Y10"/>
    <mergeCell ref="AE11:AE12"/>
    <mergeCell ref="AC11:AC12"/>
    <mergeCell ref="S11:V11"/>
    <mergeCell ref="W11:Y11"/>
    <mergeCell ref="E13:E25"/>
    <mergeCell ref="J9:J12"/>
    <mergeCell ref="K9:K12"/>
    <mergeCell ref="I9:I12"/>
    <mergeCell ref="AA30:AH30"/>
    <mergeCell ref="L11:L12"/>
    <mergeCell ref="AC2:AG2"/>
    <mergeCell ref="AD1:AH1"/>
    <mergeCell ref="P3:AJ3"/>
    <mergeCell ref="AC4:AG4"/>
    <mergeCell ref="O11:O12"/>
    <mergeCell ref="Z11:AB11"/>
    <mergeCell ref="L8:AF8"/>
    <mergeCell ref="AF11:AF12"/>
    <mergeCell ref="E32:H32"/>
    <mergeCell ref="E33:H33"/>
    <mergeCell ref="E31:H31"/>
    <mergeCell ref="AA31:AH31"/>
    <mergeCell ref="AA32:AH32"/>
    <mergeCell ref="AJ29:AQ32"/>
    <mergeCell ref="C6:G7"/>
    <mergeCell ref="C3:M3"/>
    <mergeCell ref="C1:M2"/>
    <mergeCell ref="F9:G11"/>
    <mergeCell ref="H9:H12"/>
    <mergeCell ref="M11:M12"/>
    <mergeCell ref="AE9:AF9"/>
    <mergeCell ref="Z10:AF10"/>
    <mergeCell ref="AD11:AD12"/>
    <mergeCell ref="AJ10:AK11"/>
    <mergeCell ref="AO17:AP18"/>
    <mergeCell ref="AK19:AN19"/>
    <mergeCell ref="AP19:AQ19"/>
    <mergeCell ref="AN10:AN11"/>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6.xml><?xml version="1.0" encoding="utf-8"?>
<worksheet xmlns="http://schemas.openxmlformats.org/spreadsheetml/2006/main" xmlns:r="http://schemas.openxmlformats.org/officeDocument/2006/relationships">
  <sheetPr codeName="Tabelle31">
    <tabColor indexed="11"/>
  </sheetPr>
  <dimension ref="C1:AS95"/>
  <sheetViews>
    <sheetView zoomScale="75" zoomScaleNormal="75" zoomScaleSheetLayoutView="70" workbookViewId="0" topLeftCell="AG5">
      <selection activeCell="AJ12" sqref="AJ12"/>
    </sheetView>
  </sheetViews>
  <sheetFormatPr defaultColWidth="9.140625" defaultRowHeight="12.75"/>
  <cols>
    <col min="1" max="2" width="9.140625" style="1" customWidth="1"/>
    <col min="3" max="3" width="3.57421875" style="156" customWidth="1"/>
    <col min="4" max="4" width="1.28515625" style="1" customWidth="1"/>
    <col min="5" max="5" width="4.8515625" style="1" customWidth="1"/>
    <col min="6" max="6" width="12.8515625" style="165" customWidth="1"/>
    <col min="7" max="7" width="6.140625" style="1" customWidth="1"/>
    <col min="8" max="10" width="15.57421875" style="159" customWidth="1"/>
    <col min="11" max="11" width="15.57421875" style="169" customWidth="1"/>
    <col min="12" max="14" width="15.57421875" style="159" customWidth="1"/>
    <col min="15" max="32" width="15.57421875" style="1" customWidth="1"/>
    <col min="33" max="33" width="1.8515625" style="1" customWidth="1"/>
    <col min="34" max="34" width="6.57421875" style="1" customWidth="1"/>
    <col min="35" max="36" width="12.57421875" style="1" customWidth="1"/>
    <col min="37" max="37" width="20.140625" style="1" customWidth="1"/>
    <col min="38" max="38" width="25.140625" style="1" customWidth="1"/>
    <col min="39" max="39" width="27.00390625" style="1" customWidth="1"/>
    <col min="40" max="40" width="27.140625" style="1" customWidth="1"/>
    <col min="41" max="41" width="19.57421875" style="1" customWidth="1"/>
    <col min="42" max="42" width="12.57421875" style="1" customWidth="1"/>
    <col min="43" max="43" width="20.140625" style="1" customWidth="1"/>
    <col min="44" max="16384" width="12.57421875" style="1" customWidth="1"/>
  </cols>
  <sheetData>
    <row r="1" spans="3:34" ht="20.25" thickBot="1" thickTop="1">
      <c r="C1" s="1428"/>
      <c r="D1" s="1356"/>
      <c r="E1" s="1356"/>
      <c r="F1" s="1356"/>
      <c r="G1" s="1356"/>
      <c r="H1" s="1356"/>
      <c r="I1" s="1356"/>
      <c r="J1" s="1356"/>
      <c r="K1" s="1356"/>
      <c r="L1" s="1356"/>
      <c r="M1" s="1357"/>
      <c r="N1" s="2"/>
      <c r="O1" s="3"/>
      <c r="P1" s="3"/>
      <c r="Q1" s="3"/>
      <c r="R1" s="3"/>
      <c r="S1" s="3"/>
      <c r="T1" s="3"/>
      <c r="U1" s="3"/>
      <c r="V1" s="3"/>
      <c r="W1" s="3"/>
      <c r="X1" s="3"/>
      <c r="Y1" s="3"/>
      <c r="Z1" s="3"/>
      <c r="AA1" s="3"/>
      <c r="AB1" s="3"/>
      <c r="AC1" s="3"/>
      <c r="AD1" s="1402" t="s">
        <v>0</v>
      </c>
      <c r="AE1" s="1403"/>
      <c r="AF1" s="1403"/>
      <c r="AG1" s="1404"/>
      <c r="AH1" s="1405"/>
    </row>
    <row r="2" spans="3:34" ht="60.75" customHeight="1" thickBot="1" thickTop="1">
      <c r="C2" s="1358"/>
      <c r="D2" s="1359"/>
      <c r="E2" s="1359"/>
      <c r="F2" s="1359"/>
      <c r="G2" s="1359"/>
      <c r="H2" s="1359"/>
      <c r="I2" s="1359"/>
      <c r="J2" s="1359"/>
      <c r="K2" s="1359"/>
      <c r="L2" s="1359"/>
      <c r="M2" s="1360"/>
      <c r="N2" s="4"/>
      <c r="O2" s="5"/>
      <c r="P2" s="5"/>
      <c r="Q2" s="5"/>
      <c r="R2" s="5"/>
      <c r="S2" s="5"/>
      <c r="T2" s="5"/>
      <c r="U2" s="5"/>
      <c r="V2" s="5"/>
      <c r="W2" s="5"/>
      <c r="X2" s="5"/>
      <c r="Y2" s="5"/>
      <c r="Z2" s="5"/>
      <c r="AA2" s="5"/>
      <c r="AB2" s="5"/>
      <c r="AC2" s="1400" t="s">
        <v>254</v>
      </c>
      <c r="AD2" s="1401"/>
      <c r="AE2" s="1401"/>
      <c r="AF2" s="1401"/>
      <c r="AG2" s="1401"/>
      <c r="AH2" s="3"/>
    </row>
    <row r="3" spans="3:37" ht="31.5" customHeight="1" thickBot="1">
      <c r="C3" s="1424" t="s">
        <v>2</v>
      </c>
      <c r="D3" s="1425"/>
      <c r="E3" s="1425"/>
      <c r="F3" s="1425"/>
      <c r="G3" s="1425"/>
      <c r="H3" s="1425"/>
      <c r="I3" s="1425"/>
      <c r="J3" s="1425"/>
      <c r="K3" s="1425"/>
      <c r="L3" s="1426"/>
      <c r="M3" s="1427"/>
      <c r="N3" s="6"/>
      <c r="O3" s="7"/>
      <c r="P3" s="1406"/>
      <c r="Q3" s="1407"/>
      <c r="R3" s="1407"/>
      <c r="S3" s="1407"/>
      <c r="T3" s="1407"/>
      <c r="U3" s="1407"/>
      <c r="V3" s="1407"/>
      <c r="W3" s="1407"/>
      <c r="X3" s="1407"/>
      <c r="Y3" s="1407"/>
      <c r="Z3" s="1407"/>
      <c r="AA3" s="1407"/>
      <c r="AB3" s="1407"/>
      <c r="AC3" s="1407"/>
      <c r="AD3" s="1407"/>
      <c r="AE3" s="1407"/>
      <c r="AF3" s="1407"/>
      <c r="AG3" s="1407"/>
      <c r="AH3" s="1407"/>
      <c r="AI3" s="1407"/>
      <c r="AJ3" s="1407"/>
      <c r="AK3" s="8"/>
    </row>
    <row r="4" spans="3:34" ht="22.5" customHeight="1">
      <c r="C4" s="5"/>
      <c r="D4" s="5"/>
      <c r="E4" s="5"/>
      <c r="F4" s="9"/>
      <c r="G4" s="5"/>
      <c r="H4" s="4"/>
      <c r="I4" s="4"/>
      <c r="J4" s="10"/>
      <c r="K4" s="4"/>
      <c r="L4" s="4"/>
      <c r="M4" s="4"/>
      <c r="N4" s="4"/>
      <c r="O4" s="5"/>
      <c r="P4" s="5"/>
      <c r="Q4" s="5"/>
      <c r="R4" s="5"/>
      <c r="S4" s="5"/>
      <c r="T4" s="5"/>
      <c r="U4" s="5"/>
      <c r="V4" s="5"/>
      <c r="W4" s="5"/>
      <c r="X4" s="5"/>
      <c r="Y4" s="5"/>
      <c r="Z4" s="5"/>
      <c r="AA4" s="5"/>
      <c r="AB4" s="5"/>
      <c r="AC4" s="1400"/>
      <c r="AD4" s="1408"/>
      <c r="AE4" s="1408"/>
      <c r="AF4" s="1409"/>
      <c r="AG4" s="1409"/>
      <c r="AH4" s="11"/>
    </row>
    <row r="5" spans="3:34" s="12" customFormat="1" ht="18.75" customHeight="1" thickBot="1">
      <c r="C5" s="13"/>
      <c r="D5" s="14"/>
      <c r="E5" s="14"/>
      <c r="F5" s="15"/>
      <c r="G5" s="16"/>
      <c r="H5" s="17"/>
      <c r="I5" s="17"/>
      <c r="J5" s="17"/>
      <c r="K5" s="18"/>
      <c r="L5" s="17"/>
      <c r="M5" s="17"/>
      <c r="N5" s="17"/>
      <c r="O5" s="16"/>
      <c r="P5" s="16"/>
      <c r="Q5" s="16"/>
      <c r="R5" s="16"/>
      <c r="S5" s="16"/>
      <c r="T5" s="16"/>
      <c r="U5" s="16"/>
      <c r="V5" s="16"/>
      <c r="W5" s="16"/>
      <c r="X5" s="16"/>
      <c r="Y5" s="16"/>
      <c r="Z5" s="14"/>
      <c r="AA5" s="14"/>
      <c r="AB5" s="14"/>
      <c r="AC5" s="14"/>
      <c r="AD5" s="14"/>
      <c r="AE5" s="14"/>
      <c r="AF5" s="14"/>
      <c r="AG5" s="19"/>
      <c r="AH5" s="19"/>
    </row>
    <row r="6" spans="3:34" s="20" customFormat="1" ht="22.5" customHeight="1">
      <c r="C6" s="1355" t="s">
        <v>3</v>
      </c>
      <c r="D6" s="1356"/>
      <c r="E6" s="1356"/>
      <c r="F6" s="1356"/>
      <c r="G6" s="1357"/>
      <c r="H6" s="21" t="s">
        <v>4</v>
      </c>
      <c r="I6" s="22" t="s">
        <v>5</v>
      </c>
      <c r="J6" s="22" t="s">
        <v>6</v>
      </c>
      <c r="K6" s="22" t="s">
        <v>7</v>
      </c>
      <c r="L6" s="22" t="s">
        <v>8</v>
      </c>
      <c r="M6" s="22" t="s">
        <v>9</v>
      </c>
      <c r="N6" s="22" t="s">
        <v>10</v>
      </c>
      <c r="O6" s="23" t="s">
        <v>11</v>
      </c>
      <c r="P6" s="23" t="s">
        <v>12</v>
      </c>
      <c r="Q6" s="23" t="s">
        <v>13</v>
      </c>
      <c r="R6" s="23" t="s">
        <v>14</v>
      </c>
      <c r="S6" s="23" t="s">
        <v>15</v>
      </c>
      <c r="T6" s="23" t="s">
        <v>16</v>
      </c>
      <c r="U6" s="23" t="s">
        <v>17</v>
      </c>
      <c r="V6" s="23" t="s">
        <v>18</v>
      </c>
      <c r="W6" s="23" t="s">
        <v>19</v>
      </c>
      <c r="X6" s="23" t="s">
        <v>20</v>
      </c>
      <c r="Y6" s="23" t="s">
        <v>21</v>
      </c>
      <c r="Z6" s="23" t="s">
        <v>22</v>
      </c>
      <c r="AA6" s="24" t="s">
        <v>23</v>
      </c>
      <c r="AB6" s="23" t="s">
        <v>24</v>
      </c>
      <c r="AC6" s="23" t="s">
        <v>25</v>
      </c>
      <c r="AD6" s="23" t="s">
        <v>26</v>
      </c>
      <c r="AE6" s="23" t="s">
        <v>27</v>
      </c>
      <c r="AF6" s="25" t="s">
        <v>28</v>
      </c>
      <c r="AG6" s="26"/>
      <c r="AH6" s="26"/>
    </row>
    <row r="7" spans="3:34" s="12" customFormat="1" ht="10.5" customHeight="1" thickBot="1">
      <c r="C7" s="1358"/>
      <c r="D7" s="1359"/>
      <c r="E7" s="1359"/>
      <c r="F7" s="1359"/>
      <c r="G7" s="1360"/>
      <c r="H7" s="17"/>
      <c r="I7" s="17"/>
      <c r="J7" s="17"/>
      <c r="K7" s="18"/>
      <c r="L7" s="17"/>
      <c r="M7" s="17"/>
      <c r="N7" s="17"/>
      <c r="O7" s="16"/>
      <c r="P7" s="16"/>
      <c r="Q7" s="16"/>
      <c r="R7" s="16"/>
      <c r="S7" s="16"/>
      <c r="T7" s="16"/>
      <c r="U7" s="16"/>
      <c r="V7" s="16"/>
      <c r="W7" s="16"/>
      <c r="X7" s="16"/>
      <c r="Y7" s="16"/>
      <c r="Z7" s="14"/>
      <c r="AA7" s="14"/>
      <c r="AB7" s="14"/>
      <c r="AC7" s="14"/>
      <c r="AD7" s="14"/>
      <c r="AE7" s="14"/>
      <c r="AF7" s="14"/>
      <c r="AG7" s="19"/>
      <c r="AH7" s="19"/>
    </row>
    <row r="8" spans="3:39" ht="26.25" thickBot="1">
      <c r="C8" s="13"/>
      <c r="D8" s="5"/>
      <c r="E8" s="14"/>
      <c r="F8" s="27"/>
      <c r="G8" s="28"/>
      <c r="H8" s="29"/>
      <c r="I8" s="29"/>
      <c r="J8" s="29"/>
      <c r="K8" s="30"/>
      <c r="L8" s="1413" t="s">
        <v>29</v>
      </c>
      <c r="M8" s="1414"/>
      <c r="N8" s="1414"/>
      <c r="O8" s="1414"/>
      <c r="P8" s="1414"/>
      <c r="Q8" s="1414"/>
      <c r="R8" s="1414"/>
      <c r="S8" s="1414"/>
      <c r="T8" s="1414"/>
      <c r="U8" s="1414"/>
      <c r="V8" s="1414"/>
      <c r="W8" s="1414"/>
      <c r="X8" s="1414"/>
      <c r="Y8" s="1414"/>
      <c r="Z8" s="1414"/>
      <c r="AA8" s="1414"/>
      <c r="AB8" s="1414"/>
      <c r="AC8" s="1414"/>
      <c r="AD8" s="1414"/>
      <c r="AE8" s="1414"/>
      <c r="AF8" s="1415"/>
      <c r="AG8" s="31"/>
      <c r="AH8" s="31"/>
      <c r="AJ8" s="32" t="str">
        <f>AC2</f>
        <v>United States of America</v>
      </c>
      <c r="AM8" s="1" t="s">
        <v>432</v>
      </c>
    </row>
    <row r="9" spans="3:39" ht="13.5" customHeight="1">
      <c r="C9" s="13"/>
      <c r="D9" s="5"/>
      <c r="E9" s="33"/>
      <c r="F9" s="1429"/>
      <c r="G9" s="1357"/>
      <c r="H9" s="1352" t="s">
        <v>30</v>
      </c>
      <c r="I9" s="1363" t="s">
        <v>114</v>
      </c>
      <c r="J9" s="1350" t="s">
        <v>115</v>
      </c>
      <c r="K9" s="1352" t="s">
        <v>116</v>
      </c>
      <c r="L9" s="1369" t="s">
        <v>31</v>
      </c>
      <c r="M9" s="1370"/>
      <c r="N9" s="1370"/>
      <c r="O9" s="1370"/>
      <c r="P9" s="1370"/>
      <c r="Q9" s="1370"/>
      <c r="R9" s="1371"/>
      <c r="S9" s="1378" t="s">
        <v>32</v>
      </c>
      <c r="T9" s="1379"/>
      <c r="U9" s="1379"/>
      <c r="V9" s="1379"/>
      <c r="W9" s="1379"/>
      <c r="X9" s="1379"/>
      <c r="Y9" s="1379"/>
      <c r="Z9" s="1379"/>
      <c r="AA9" s="1379"/>
      <c r="AB9" s="1379"/>
      <c r="AC9" s="1379"/>
      <c r="AD9" s="1379"/>
      <c r="AE9" s="1433"/>
      <c r="AF9" s="1434"/>
      <c r="AG9" s="31"/>
      <c r="AH9" s="31"/>
      <c r="AJ9" s="34" t="s">
        <v>33</v>
      </c>
      <c r="AL9" s="250">
        <v>298444215</v>
      </c>
      <c r="AM9" s="35"/>
    </row>
    <row r="10" spans="3:40" ht="13.5" customHeight="1">
      <c r="C10" s="13"/>
      <c r="D10" s="5"/>
      <c r="E10" s="33"/>
      <c r="F10" s="1430"/>
      <c r="G10" s="1431"/>
      <c r="H10" s="1353"/>
      <c r="I10" s="1364"/>
      <c r="J10" s="1351"/>
      <c r="K10" s="1353"/>
      <c r="L10" s="1372"/>
      <c r="M10" s="1373"/>
      <c r="N10" s="1373"/>
      <c r="O10" s="1373"/>
      <c r="P10" s="1373"/>
      <c r="Q10" s="1373"/>
      <c r="R10" s="1374"/>
      <c r="S10" s="1380" t="s">
        <v>34</v>
      </c>
      <c r="T10" s="1381"/>
      <c r="U10" s="1381"/>
      <c r="V10" s="1381"/>
      <c r="W10" s="1381"/>
      <c r="X10" s="1381"/>
      <c r="Y10" s="1382"/>
      <c r="Z10" s="1380" t="s">
        <v>35</v>
      </c>
      <c r="AA10" s="1381"/>
      <c r="AB10" s="1381"/>
      <c r="AC10" s="1381"/>
      <c r="AD10" s="1381"/>
      <c r="AE10" s="1435"/>
      <c r="AF10" s="1436"/>
      <c r="AG10" s="31"/>
      <c r="AH10" s="31"/>
      <c r="AJ10" s="1504" t="s">
        <v>348</v>
      </c>
      <c r="AK10" s="1504"/>
      <c r="AN10" s="1450"/>
    </row>
    <row r="11" spans="3:40" ht="31.5" customHeight="1" thickBot="1">
      <c r="C11" s="13"/>
      <c r="D11" s="5"/>
      <c r="E11" s="36"/>
      <c r="F11" s="1430"/>
      <c r="G11" s="1431"/>
      <c r="H11" s="1353"/>
      <c r="I11" s="1364"/>
      <c r="J11" s="1351"/>
      <c r="K11" s="1353"/>
      <c r="L11" s="1398" t="s">
        <v>36</v>
      </c>
      <c r="M11" s="1367" t="s">
        <v>37</v>
      </c>
      <c r="N11" s="1367" t="s">
        <v>38</v>
      </c>
      <c r="O11" s="1410" t="s">
        <v>39</v>
      </c>
      <c r="P11" s="1375" t="s">
        <v>40</v>
      </c>
      <c r="Q11" s="1376"/>
      <c r="R11" s="1377"/>
      <c r="S11" s="1387" t="s">
        <v>41</v>
      </c>
      <c r="T11" s="1388"/>
      <c r="U11" s="1388"/>
      <c r="V11" s="1388"/>
      <c r="W11" s="1387" t="s">
        <v>42</v>
      </c>
      <c r="X11" s="1388"/>
      <c r="Y11" s="1389"/>
      <c r="Z11" s="1380" t="s">
        <v>43</v>
      </c>
      <c r="AA11" s="1381"/>
      <c r="AB11" s="1412"/>
      <c r="AC11" s="1385" t="s">
        <v>44</v>
      </c>
      <c r="AD11" s="1437" t="s">
        <v>45</v>
      </c>
      <c r="AE11" s="1383" t="s">
        <v>46</v>
      </c>
      <c r="AF11" s="1416" t="s">
        <v>47</v>
      </c>
      <c r="AG11" s="31"/>
      <c r="AH11" s="31"/>
      <c r="AJ11" s="1504"/>
      <c r="AK11" s="1504"/>
      <c r="AL11" s="39">
        <f>AQ17/AL9</f>
        <v>0.7119420062487594</v>
      </c>
      <c r="AN11" s="1450"/>
    </row>
    <row r="12" spans="3:34" ht="42.75" customHeight="1" thickBot="1">
      <c r="C12" s="13"/>
      <c r="D12" s="5"/>
      <c r="E12" s="36"/>
      <c r="F12" s="40"/>
      <c r="G12" s="41" t="s">
        <v>48</v>
      </c>
      <c r="H12" s="1354"/>
      <c r="I12" s="1394"/>
      <c r="J12" s="1393"/>
      <c r="K12" s="1354"/>
      <c r="L12" s="1399"/>
      <c r="M12" s="1432"/>
      <c r="N12" s="1368"/>
      <c r="O12" s="1411"/>
      <c r="P12" s="42" t="s">
        <v>49</v>
      </c>
      <c r="Q12" s="42" t="s">
        <v>50</v>
      </c>
      <c r="R12" s="43" t="s">
        <v>51</v>
      </c>
      <c r="S12" s="44" t="s">
        <v>52</v>
      </c>
      <c r="T12" s="38" t="s">
        <v>53</v>
      </c>
      <c r="U12" s="45" t="s">
        <v>54</v>
      </c>
      <c r="V12" s="46" t="s">
        <v>55</v>
      </c>
      <c r="W12" s="47" t="s">
        <v>56</v>
      </c>
      <c r="X12" s="37" t="s">
        <v>57</v>
      </c>
      <c r="Y12" s="46" t="s">
        <v>58</v>
      </c>
      <c r="Z12" s="48" t="s">
        <v>59</v>
      </c>
      <c r="AA12" s="49" t="s">
        <v>60</v>
      </c>
      <c r="AB12" s="46" t="s">
        <v>61</v>
      </c>
      <c r="AC12" s="1386"/>
      <c r="AD12" s="1438"/>
      <c r="AE12" s="1384"/>
      <c r="AF12" s="1417"/>
      <c r="AG12" s="31"/>
      <c r="AH12" s="50"/>
    </row>
    <row r="13" spans="3:45" ht="38.25" customHeight="1" thickBot="1" thickTop="1">
      <c r="C13" s="51" t="s">
        <v>62</v>
      </c>
      <c r="D13" s="5"/>
      <c r="E13" s="1390" t="s">
        <v>63</v>
      </c>
      <c r="F13" s="52" t="s">
        <v>64</v>
      </c>
      <c r="G13" s="53" t="s">
        <v>65</v>
      </c>
      <c r="H13" s="251">
        <v>405613000</v>
      </c>
      <c r="I13" s="251">
        <v>2551364.088504</v>
      </c>
      <c r="J13" s="251">
        <v>10288479.002154</v>
      </c>
      <c r="K13" s="252">
        <v>397875885.08635</v>
      </c>
      <c r="L13" s="185">
        <v>203227951.34423637</v>
      </c>
      <c r="M13" s="186">
        <v>185643006.51778334</v>
      </c>
      <c r="N13" s="186">
        <v>9004927.224330293</v>
      </c>
      <c r="O13" s="187">
        <v>9004927.224330293</v>
      </c>
      <c r="P13" s="253" t="s">
        <v>249</v>
      </c>
      <c r="Q13" s="187" t="s">
        <v>244</v>
      </c>
      <c r="R13" s="186" t="s">
        <v>250</v>
      </c>
      <c r="S13" s="229" t="s">
        <v>244</v>
      </c>
      <c r="T13" s="229" t="s">
        <v>244</v>
      </c>
      <c r="U13" s="229" t="s">
        <v>244</v>
      </c>
      <c r="V13" s="519"/>
      <c r="W13" s="212"/>
      <c r="X13" s="254"/>
      <c r="Y13" s="216">
        <v>0</v>
      </c>
      <c r="Z13" s="217"/>
      <c r="AA13" s="218"/>
      <c r="AB13" s="219"/>
      <c r="AC13" s="217"/>
      <c r="AD13" s="218"/>
      <c r="AE13" s="218"/>
      <c r="AF13" s="219"/>
      <c r="AG13" s="31"/>
      <c r="AH13" s="51" t="s">
        <v>62</v>
      </c>
      <c r="AK13" s="54" t="s">
        <v>66</v>
      </c>
      <c r="AL13" s="55" t="s">
        <v>67</v>
      </c>
      <c r="AM13" s="55" t="s">
        <v>68</v>
      </c>
      <c r="AN13" s="56" t="s">
        <v>69</v>
      </c>
      <c r="AO13" s="428" t="s">
        <v>353</v>
      </c>
      <c r="AP13" s="56" t="s">
        <v>70</v>
      </c>
      <c r="AQ13" s="57"/>
      <c r="AR13" s="58"/>
      <c r="AS13" s="59"/>
    </row>
    <row r="14" spans="3:43" ht="38.25" customHeight="1" thickBot="1">
      <c r="C14" s="60" t="s">
        <v>71</v>
      </c>
      <c r="D14" s="5"/>
      <c r="E14" s="1391"/>
      <c r="F14" s="61" t="s">
        <v>117</v>
      </c>
      <c r="G14" s="53" t="s">
        <v>65</v>
      </c>
      <c r="H14" s="251">
        <v>42900254.99999999</v>
      </c>
      <c r="I14" s="251">
        <v>813679.2250000001</v>
      </c>
      <c r="J14" s="251">
        <v>2296853.6350000002</v>
      </c>
      <c r="K14" s="255">
        <v>41417080.589999996</v>
      </c>
      <c r="L14" s="220"/>
      <c r="M14" s="221"/>
      <c r="N14" s="221"/>
      <c r="O14" s="222"/>
      <c r="P14" s="256" t="s">
        <v>249</v>
      </c>
      <c r="Q14" s="192" t="s">
        <v>251</v>
      </c>
      <c r="R14" s="192" t="s">
        <v>250</v>
      </c>
      <c r="S14" s="229">
        <v>0</v>
      </c>
      <c r="T14" s="229">
        <v>0</v>
      </c>
      <c r="U14" s="229">
        <v>0</v>
      </c>
      <c r="V14" s="520">
        <v>0</v>
      </c>
      <c r="W14" s="193"/>
      <c r="X14" s="193"/>
      <c r="Y14" s="224">
        <v>0</v>
      </c>
      <c r="Z14" s="225"/>
      <c r="AA14" s="196"/>
      <c r="AB14" s="522"/>
      <c r="AC14" s="192">
        <v>41417080.589999996</v>
      </c>
      <c r="AD14" s="192"/>
      <c r="AE14" s="194"/>
      <c r="AF14" s="522">
        <v>41417080.589999996</v>
      </c>
      <c r="AG14" s="31"/>
      <c r="AH14" s="60" t="s">
        <v>71</v>
      </c>
      <c r="AK14" s="63" t="s">
        <v>73</v>
      </c>
      <c r="AL14" s="64">
        <f>IF(V13+V14+V15+V16+V17+(V20*Assumptions!F20)=0,"n.a.",V13+V14+V15+V16+V17+(V20*Assumptions!F20))</f>
        <v>5321250</v>
      </c>
      <c r="AM14" s="64" t="str">
        <f>IF(AB14+AB15+AB16+AB17+(AB20*Assumptions!F20)=0,"n.a.",AB14+AB15+AB16+AB17+(AB20*Assumptions!F20))</f>
        <v>n.a.</v>
      </c>
      <c r="AN14" s="65">
        <f>IF(AF14+AF15+AF16+AF17+(AF20*Assumptions!F20)=0,"n.a.",AF14+AF15+AF16+AF17+(AF20*Assumptions!F20))</f>
        <v>41417080.589999996</v>
      </c>
      <c r="AO14" s="66">
        <f>SUM(AL14:AN14)</f>
        <v>46738330.589999996</v>
      </c>
      <c r="AP14" s="67">
        <f>AO14/$AO$19</f>
        <v>0.21997099183210292</v>
      </c>
      <c r="AQ14" s="57"/>
    </row>
    <row r="15" spans="3:43" ht="38.25" customHeight="1" thickBot="1">
      <c r="C15" s="51" t="s">
        <v>74</v>
      </c>
      <c r="D15" s="5"/>
      <c r="E15" s="1391"/>
      <c r="F15" s="61" t="s">
        <v>75</v>
      </c>
      <c r="G15" s="53" t="s">
        <v>65</v>
      </c>
      <c r="H15" s="257" t="s">
        <v>243</v>
      </c>
      <c r="I15" s="257"/>
      <c r="J15" s="257"/>
      <c r="K15" s="255"/>
      <c r="L15" s="220"/>
      <c r="M15" s="197" t="s">
        <v>251</v>
      </c>
      <c r="N15" s="197" t="s">
        <v>251</v>
      </c>
      <c r="O15" s="197" t="s">
        <v>251</v>
      </c>
      <c r="P15" s="192" t="s">
        <v>244</v>
      </c>
      <c r="Q15" s="192" t="s">
        <v>252</v>
      </c>
      <c r="R15" s="192" t="s">
        <v>250</v>
      </c>
      <c r="S15" s="229" t="s">
        <v>244</v>
      </c>
      <c r="T15" s="229" t="s">
        <v>244</v>
      </c>
      <c r="U15" s="229" t="s">
        <v>244</v>
      </c>
      <c r="V15" s="520"/>
      <c r="W15" s="193"/>
      <c r="X15" s="193"/>
      <c r="Y15" s="224">
        <v>0</v>
      </c>
      <c r="Z15" s="225"/>
      <c r="AA15" s="196"/>
      <c r="AB15" s="522"/>
      <c r="AC15" s="192"/>
      <c r="AD15" s="192"/>
      <c r="AE15" s="194"/>
      <c r="AF15" s="522"/>
      <c r="AG15" s="31"/>
      <c r="AH15" s="51" t="s">
        <v>74</v>
      </c>
      <c r="AK15" s="63" t="s">
        <v>76</v>
      </c>
      <c r="AL15" s="68">
        <f>IF(V18+V19+(V23*Assumptions!F9)+(V24*Assumptions!F6)+(V22)+V25=0,"n.a.",V18+V19+(V23*Assumptions!F9)+(V24*Assumptions!F6)+(V22)+V25)</f>
        <v>73934856.05598755</v>
      </c>
      <c r="AM15" s="68">
        <f>IF(AB18+AB19+(AB23*Assumptions!F9)+(AB24*Assumptions!F6)+(AB25)+(AB22)=0,"n.a.",AB18+AB19+(AB23*Assumptions!F9)+(AB24*Assumptions!F6)+(AB25)+(AB22))</f>
        <v>87469524.18322556</v>
      </c>
      <c r="AN15" s="69">
        <f>IF(AF18+AF19+(AF23*Assumptions!F9)+(AF24*Assumptions!F6)+AF22=0,"n.a.",AF18+AF19+(AF23*Assumptions!F9)+(AF24*Assumptions!F6)+AF22)</f>
        <v>1826457.08625</v>
      </c>
      <c r="AO15" s="66">
        <f>SUM(AL15:AN15)</f>
        <v>163230837.32546312</v>
      </c>
      <c r="AP15" s="67">
        <f>AO15/$AO$19</f>
        <v>0.768235594442672</v>
      </c>
      <c r="AQ15" s="57"/>
    </row>
    <row r="16" spans="3:43" ht="38.25" customHeight="1" thickBot="1">
      <c r="C16" s="60" t="s">
        <v>77</v>
      </c>
      <c r="D16" s="5"/>
      <c r="E16" s="1391"/>
      <c r="F16" s="61" t="s">
        <v>78</v>
      </c>
      <c r="G16" s="53" t="s">
        <v>65</v>
      </c>
      <c r="H16" s="251"/>
      <c r="I16" s="251"/>
      <c r="J16" s="251"/>
      <c r="K16" s="255" t="s">
        <v>244</v>
      </c>
      <c r="L16" s="220"/>
      <c r="M16" s="197"/>
      <c r="N16" s="197"/>
      <c r="O16" s="197"/>
      <c r="P16" s="192"/>
      <c r="Q16" s="192"/>
      <c r="R16" s="192" t="s">
        <v>250</v>
      </c>
      <c r="S16" s="229"/>
      <c r="T16" s="229"/>
      <c r="U16" s="229"/>
      <c r="V16" s="520"/>
      <c r="W16" s="193"/>
      <c r="X16" s="193"/>
      <c r="Y16" s="224">
        <v>0</v>
      </c>
      <c r="Z16" s="225"/>
      <c r="AA16" s="196"/>
      <c r="AB16" s="523"/>
      <c r="AC16" s="192"/>
      <c r="AD16" s="192"/>
      <c r="AE16" s="194"/>
      <c r="AF16" s="522"/>
      <c r="AG16" s="31"/>
      <c r="AH16" s="60" t="s">
        <v>77</v>
      </c>
      <c r="AK16" s="430" t="s">
        <v>79</v>
      </c>
      <c r="AL16" s="70">
        <f>IF(V21*Assumptions!F20=0,"n.a.",V21*Assumptions!F20)</f>
        <v>2505805.2649729857</v>
      </c>
      <c r="AM16" s="70" t="str">
        <f>IF(AB21*Assumptions!F20=0,"n.a.",AB21*Assumptions!F20)</f>
        <v>n.a.</v>
      </c>
      <c r="AN16" s="71" t="str">
        <f>IF(AF21*Assumptions!F20=0,"n.a.",AF21*Assumptions!F20)</f>
        <v>n.a.</v>
      </c>
      <c r="AO16" s="72">
        <f>SUM(AL16:AN16)</f>
        <v>2505805.2649729857</v>
      </c>
      <c r="AP16" s="67">
        <f>AO16/$AO$19</f>
        <v>0.011793413725225079</v>
      </c>
      <c r="AQ16" s="73"/>
    </row>
    <row r="17" spans="3:43" ht="38.25" customHeight="1" thickBot="1" thickTop="1">
      <c r="C17" s="51" t="s">
        <v>80</v>
      </c>
      <c r="D17" s="5"/>
      <c r="E17" s="1391"/>
      <c r="F17" s="61" t="s">
        <v>81</v>
      </c>
      <c r="G17" s="53" t="s">
        <v>65</v>
      </c>
      <c r="H17" s="258" t="s">
        <v>245</v>
      </c>
      <c r="I17" s="258">
        <v>0</v>
      </c>
      <c r="J17" s="258">
        <v>0</v>
      </c>
      <c r="K17" s="255">
        <v>0</v>
      </c>
      <c r="L17" s="220"/>
      <c r="M17" s="197" t="s">
        <v>253</v>
      </c>
      <c r="N17" s="197" t="s">
        <v>253</v>
      </c>
      <c r="O17" s="197" t="s">
        <v>253</v>
      </c>
      <c r="P17" s="192">
        <v>0</v>
      </c>
      <c r="Q17" s="192">
        <v>0</v>
      </c>
      <c r="R17" s="192" t="s">
        <v>250</v>
      </c>
      <c r="S17" s="229"/>
      <c r="T17" s="229"/>
      <c r="U17" s="229"/>
      <c r="V17" s="520"/>
      <c r="W17" s="193"/>
      <c r="X17" s="193"/>
      <c r="Y17" s="224">
        <v>0</v>
      </c>
      <c r="Z17" s="225"/>
      <c r="AA17" s="196"/>
      <c r="AB17" s="522"/>
      <c r="AC17" s="192"/>
      <c r="AD17" s="192"/>
      <c r="AE17" s="194"/>
      <c r="AF17" s="522"/>
      <c r="AG17" s="31"/>
      <c r="AH17" s="51" t="s">
        <v>80</v>
      </c>
      <c r="AK17" s="431" t="s">
        <v>354</v>
      </c>
      <c r="AL17" s="74">
        <f>SUM(AL14:AL16)</f>
        <v>81761911.32096054</v>
      </c>
      <c r="AM17" s="75">
        <f>SUM(AM14:AM16)</f>
        <v>87469524.18322556</v>
      </c>
      <c r="AN17" s="75">
        <f>SUM(AN14:AN16)</f>
        <v>43243537.676249996</v>
      </c>
      <c r="AO17" s="1443"/>
      <c r="AP17" s="1444"/>
      <c r="AQ17" s="76">
        <f>SUM(AL17:AN17)</f>
        <v>212474973.18043607</v>
      </c>
    </row>
    <row r="18" spans="3:43" ht="38.25" customHeight="1" thickBot="1" thickTop="1">
      <c r="C18" s="60" t="s">
        <v>82</v>
      </c>
      <c r="D18" s="5"/>
      <c r="E18" s="1391"/>
      <c r="F18" s="61" t="s">
        <v>83</v>
      </c>
      <c r="G18" s="53" t="s">
        <v>65</v>
      </c>
      <c r="H18" s="251">
        <v>112978474</v>
      </c>
      <c r="I18" s="251">
        <v>435908.22500000003</v>
      </c>
      <c r="J18" s="251">
        <v>39593.635</v>
      </c>
      <c r="K18" s="255">
        <v>113374788.58999999</v>
      </c>
      <c r="L18" s="220"/>
      <c r="M18" s="1502">
        <v>62569418</v>
      </c>
      <c r="N18" s="1503"/>
      <c r="O18" s="199">
        <v>13756600</v>
      </c>
      <c r="P18" s="192">
        <f>2*K24</f>
        <v>1480944</v>
      </c>
      <c r="Q18" s="192"/>
      <c r="R18" s="192" t="s">
        <v>250</v>
      </c>
      <c r="S18" s="193" t="s">
        <v>244</v>
      </c>
      <c r="T18" s="229" t="s">
        <v>244</v>
      </c>
      <c r="U18" s="229" t="s">
        <v>244</v>
      </c>
      <c r="V18" s="526">
        <f>34537209-P18</f>
        <v>33056265</v>
      </c>
      <c r="W18" s="193"/>
      <c r="X18" s="193"/>
      <c r="Y18" s="224">
        <v>0</v>
      </c>
      <c r="Z18" s="225"/>
      <c r="AA18" s="196"/>
      <c r="AB18" s="528"/>
      <c r="AC18" s="192"/>
      <c r="AD18" s="192"/>
      <c r="AE18" s="194"/>
      <c r="AF18" s="528"/>
      <c r="AG18" s="31"/>
      <c r="AH18" s="60" t="s">
        <v>82</v>
      </c>
      <c r="AK18" s="431" t="s">
        <v>70</v>
      </c>
      <c r="AL18" s="78">
        <f>AL17/$AQ$17</f>
        <v>0.3848072556363023</v>
      </c>
      <c r="AM18" s="78">
        <f>AM17/$AQ$17</f>
        <v>0.41166977396884047</v>
      </c>
      <c r="AN18" s="78">
        <f>AN17/$AQ$17</f>
        <v>0.20352297039485734</v>
      </c>
      <c r="AO18" s="1445"/>
      <c r="AP18" s="1446"/>
      <c r="AQ18" s="57"/>
    </row>
    <row r="19" spans="3:43" ht="38.25" customHeight="1" thickBot="1">
      <c r="C19" s="51" t="s">
        <v>84</v>
      </c>
      <c r="D19" s="5"/>
      <c r="E19" s="1391"/>
      <c r="F19" s="61" t="s">
        <v>409</v>
      </c>
      <c r="G19" s="53" t="s">
        <v>65</v>
      </c>
      <c r="H19" s="251" t="s">
        <v>246</v>
      </c>
      <c r="I19" s="251"/>
      <c r="J19" s="251"/>
      <c r="K19" s="255"/>
      <c r="L19" s="220"/>
      <c r="M19" s="197" t="s">
        <v>252</v>
      </c>
      <c r="N19" s="197" t="s">
        <v>252</v>
      </c>
      <c r="O19" s="199" t="s">
        <v>244</v>
      </c>
      <c r="P19" s="192" t="s">
        <v>244</v>
      </c>
      <c r="Q19" s="192" t="s">
        <v>252</v>
      </c>
      <c r="R19" s="192" t="s">
        <v>250</v>
      </c>
      <c r="S19" s="229" t="s">
        <v>244</v>
      </c>
      <c r="T19" s="229" t="s">
        <v>244</v>
      </c>
      <c r="U19" s="229" t="s">
        <v>244</v>
      </c>
      <c r="V19" s="526"/>
      <c r="W19" s="193"/>
      <c r="X19" s="193"/>
      <c r="Y19" s="224">
        <v>0</v>
      </c>
      <c r="Z19" s="225"/>
      <c r="AA19" s="196"/>
      <c r="AB19" s="529"/>
      <c r="AC19" s="192"/>
      <c r="AD19" s="192"/>
      <c r="AE19" s="194"/>
      <c r="AF19" s="528"/>
      <c r="AG19" s="31"/>
      <c r="AH19" s="51" t="s">
        <v>84</v>
      </c>
      <c r="AK19" s="1447"/>
      <c r="AL19" s="1447"/>
      <c r="AM19" s="1447"/>
      <c r="AN19" s="1448"/>
      <c r="AO19" s="79">
        <f>SUM(AO14:AO16)</f>
        <v>212474973.1804361</v>
      </c>
      <c r="AP19" s="1449"/>
      <c r="AQ19" s="1447"/>
    </row>
    <row r="20" spans="3:43" ht="28.5" customHeight="1" thickBot="1">
      <c r="C20" s="60" t="s">
        <v>85</v>
      </c>
      <c r="D20" s="5"/>
      <c r="E20" s="1391"/>
      <c r="F20" s="61" t="s">
        <v>86</v>
      </c>
      <c r="G20" s="80" t="s">
        <v>87</v>
      </c>
      <c r="H20" s="251">
        <v>26800000</v>
      </c>
      <c r="I20" s="251"/>
      <c r="J20" s="251"/>
      <c r="K20" s="255">
        <v>26800000</v>
      </c>
      <c r="L20" s="220"/>
      <c r="M20" s="197">
        <v>0</v>
      </c>
      <c r="N20" s="197">
        <v>0</v>
      </c>
      <c r="O20" s="197" t="s">
        <v>244</v>
      </c>
      <c r="P20" s="192" t="s">
        <v>244</v>
      </c>
      <c r="Q20" s="192" t="s">
        <v>244</v>
      </c>
      <c r="R20" s="192" t="s">
        <v>250</v>
      </c>
      <c r="S20" s="229" t="s">
        <v>244</v>
      </c>
      <c r="T20" s="229" t="s">
        <v>244</v>
      </c>
      <c r="U20" s="229"/>
      <c r="V20" s="520">
        <v>3547500</v>
      </c>
      <c r="W20" s="226"/>
      <c r="X20" s="226"/>
      <c r="Y20" s="224">
        <v>0</v>
      </c>
      <c r="Z20" s="200"/>
      <c r="AA20" s="201"/>
      <c r="AB20" s="524"/>
      <c r="AC20" s="227"/>
      <c r="AD20" s="227"/>
      <c r="AE20" s="201"/>
      <c r="AF20" s="522"/>
      <c r="AG20" s="31"/>
      <c r="AH20" s="60" t="s">
        <v>85</v>
      </c>
      <c r="AK20" s="57"/>
      <c r="AL20" s="57"/>
      <c r="AM20" s="57"/>
      <c r="AN20" s="81"/>
      <c r="AO20" s="82"/>
      <c r="AP20" s="81"/>
      <c r="AQ20" s="57"/>
    </row>
    <row r="21" spans="3:43" ht="28.5" customHeight="1" thickBot="1">
      <c r="C21" s="51" t="s">
        <v>88</v>
      </c>
      <c r="D21" s="5"/>
      <c r="E21" s="1391"/>
      <c r="F21" s="83" t="s">
        <v>89</v>
      </c>
      <c r="G21" s="84" t="s">
        <v>87</v>
      </c>
      <c r="H21" s="251">
        <v>35700000</v>
      </c>
      <c r="I21" s="251"/>
      <c r="J21" s="251">
        <v>0</v>
      </c>
      <c r="K21" s="255">
        <v>35700000</v>
      </c>
      <c r="L21" s="220"/>
      <c r="M21" s="229">
        <v>0</v>
      </c>
      <c r="N21" s="229">
        <v>0</v>
      </c>
      <c r="O21" s="230" t="s">
        <v>244</v>
      </c>
      <c r="P21" s="192" t="s">
        <v>252</v>
      </c>
      <c r="Q21" s="192" t="s">
        <v>252</v>
      </c>
      <c r="R21" s="192" t="s">
        <v>250</v>
      </c>
      <c r="S21" s="229" t="s">
        <v>244</v>
      </c>
      <c r="T21" s="229" t="s">
        <v>244</v>
      </c>
      <c r="U21" s="229"/>
      <c r="V21" s="516">
        <v>1670536.8433153238</v>
      </c>
      <c r="W21" s="193"/>
      <c r="X21" s="193"/>
      <c r="Y21" s="224">
        <v>0</v>
      </c>
      <c r="Z21" s="225"/>
      <c r="AA21" s="196"/>
      <c r="AB21" s="532"/>
      <c r="AC21" s="192"/>
      <c r="AD21" s="192"/>
      <c r="AE21" s="194"/>
      <c r="AF21" s="532"/>
      <c r="AG21" s="31"/>
      <c r="AH21" s="51" t="s">
        <v>88</v>
      </c>
      <c r="AK21" s="57"/>
      <c r="AL21" s="545"/>
      <c r="AM21" s="57"/>
      <c r="AN21" s="538" t="s">
        <v>47</v>
      </c>
      <c r="AO21" s="539" t="s">
        <v>70</v>
      </c>
      <c r="AP21" s="81"/>
      <c r="AQ21" s="57"/>
    </row>
    <row r="22" spans="3:43" ht="28.5" customHeight="1" thickBot="1">
      <c r="C22" s="60" t="s">
        <v>90</v>
      </c>
      <c r="D22" s="5"/>
      <c r="E22" s="1391"/>
      <c r="F22" s="61" t="s">
        <v>91</v>
      </c>
      <c r="G22" s="1018" t="s">
        <v>433</v>
      </c>
      <c r="H22" s="251">
        <v>40853176</v>
      </c>
      <c r="I22" s="251"/>
      <c r="J22" s="251"/>
      <c r="K22" s="255">
        <v>40853176</v>
      </c>
      <c r="L22" s="220"/>
      <c r="M22" s="197">
        <v>193037</v>
      </c>
      <c r="N22" s="221"/>
      <c r="O22" s="199">
        <v>8315486</v>
      </c>
      <c r="P22" s="192" t="s">
        <v>244</v>
      </c>
      <c r="Q22" s="221"/>
      <c r="R22" s="192" t="s">
        <v>250</v>
      </c>
      <c r="S22" s="229" t="s">
        <v>244</v>
      </c>
      <c r="T22" s="229" t="s">
        <v>244</v>
      </c>
      <c r="U22" s="229" t="s">
        <v>244</v>
      </c>
      <c r="V22" s="526">
        <v>31084171</v>
      </c>
      <c r="W22" s="193"/>
      <c r="X22" s="193"/>
      <c r="Y22" s="224">
        <v>0</v>
      </c>
      <c r="Z22" s="225"/>
      <c r="AA22" s="196"/>
      <c r="AB22" s="529"/>
      <c r="AC22" s="192"/>
      <c r="AD22" s="192"/>
      <c r="AE22" s="194"/>
      <c r="AF22" s="529"/>
      <c r="AG22" s="31"/>
      <c r="AH22" s="60" t="s">
        <v>90</v>
      </c>
      <c r="AK22" s="57"/>
      <c r="AL22" s="96" t="s">
        <v>349</v>
      </c>
      <c r="AM22" s="97"/>
      <c r="AN22" s="98">
        <f>(K13+K14+2*K20)</f>
        <v>492892965.67635</v>
      </c>
      <c r="AO22" s="99">
        <v>1</v>
      </c>
      <c r="AP22" s="81"/>
      <c r="AQ22" s="57"/>
    </row>
    <row r="23" spans="3:41" ht="28.5" customHeight="1" thickBot="1">
      <c r="C23" s="51" t="s">
        <v>94</v>
      </c>
      <c r="D23" s="5"/>
      <c r="E23" s="1391"/>
      <c r="F23" s="61" t="s">
        <v>95</v>
      </c>
      <c r="G23" s="80" t="s">
        <v>96</v>
      </c>
      <c r="H23" s="251">
        <v>17453.514375</v>
      </c>
      <c r="I23" s="251">
        <v>55520</v>
      </c>
      <c r="J23" s="251">
        <v>15388</v>
      </c>
      <c r="K23" s="255">
        <v>57585.514375</v>
      </c>
      <c r="L23" s="220"/>
      <c r="M23" s="221"/>
      <c r="N23" s="221"/>
      <c r="O23" s="221"/>
      <c r="P23" s="221"/>
      <c r="Q23" s="221"/>
      <c r="R23" s="222"/>
      <c r="S23" s="229"/>
      <c r="T23" s="229"/>
      <c r="U23" s="229"/>
      <c r="V23" s="526"/>
      <c r="W23" s="193"/>
      <c r="X23" s="193"/>
      <c r="Y23" s="224">
        <v>0</v>
      </c>
      <c r="Z23" s="225"/>
      <c r="AA23" s="196">
        <f>(46106000*0.2*2*0.3215)/2</f>
        <v>2964615.8000000003</v>
      </c>
      <c r="AB23" s="528"/>
      <c r="AC23" s="192">
        <v>57585.514375</v>
      </c>
      <c r="AD23" s="192"/>
      <c r="AE23" s="194"/>
      <c r="AF23" s="529">
        <v>57585.514375</v>
      </c>
      <c r="AG23" s="31"/>
      <c r="AH23" s="51" t="s">
        <v>94</v>
      </c>
      <c r="AL23" s="96" t="s">
        <v>93</v>
      </c>
      <c r="AM23" s="97"/>
      <c r="AN23" s="100">
        <f>AQ17</f>
        <v>212474973.18043607</v>
      </c>
      <c r="AO23" s="101">
        <f>AN23/AN22</f>
        <v>0.4310773088207435</v>
      </c>
    </row>
    <row r="24" spans="3:41" ht="28.5" customHeight="1" thickBot="1">
      <c r="C24" s="60" t="s">
        <v>97</v>
      </c>
      <c r="D24" s="5"/>
      <c r="E24" s="1391"/>
      <c r="F24" s="61" t="s">
        <v>98</v>
      </c>
      <c r="G24" s="102" t="s">
        <v>99</v>
      </c>
      <c r="H24" s="251">
        <v>740472</v>
      </c>
      <c r="I24" s="251"/>
      <c r="J24" s="251"/>
      <c r="K24" s="255">
        <f>H24+I24-J24</f>
        <v>740472</v>
      </c>
      <c r="L24" s="220"/>
      <c r="M24" s="221"/>
      <c r="N24" s="221"/>
      <c r="O24" s="221"/>
      <c r="P24" s="221"/>
      <c r="Q24" s="221"/>
      <c r="R24" s="222"/>
      <c r="S24" s="229"/>
      <c r="T24" s="229"/>
      <c r="U24" s="229"/>
      <c r="V24" s="526"/>
      <c r="W24" s="193"/>
      <c r="X24" s="193"/>
      <c r="Y24" s="224">
        <v>0</v>
      </c>
      <c r="Z24" s="225"/>
      <c r="AA24" s="196"/>
      <c r="AB24" s="528"/>
      <c r="AC24" s="192" t="s">
        <v>247</v>
      </c>
      <c r="AD24" s="192"/>
      <c r="AE24" s="194"/>
      <c r="AF24" s="529">
        <f>K24</f>
        <v>740472</v>
      </c>
      <c r="AG24" s="31"/>
      <c r="AH24" s="60" t="s">
        <v>97</v>
      </c>
      <c r="AL24" s="96" t="s">
        <v>551</v>
      </c>
      <c r="AM24" s="97"/>
      <c r="AN24" s="98"/>
      <c r="AO24" s="99">
        <f>AO14/AN23</f>
        <v>0.21997099183210295</v>
      </c>
    </row>
    <row r="25" spans="3:41" ht="28.5" customHeight="1" thickBot="1">
      <c r="C25" s="104" t="s">
        <v>100</v>
      </c>
      <c r="D25" s="5"/>
      <c r="E25" s="1392"/>
      <c r="F25" s="105" t="s">
        <v>101</v>
      </c>
      <c r="G25" s="106" t="s">
        <v>431</v>
      </c>
      <c r="H25" s="259"/>
      <c r="I25" s="259"/>
      <c r="J25" s="260"/>
      <c r="K25" s="261">
        <v>0</v>
      </c>
      <c r="L25" s="232"/>
      <c r="M25" s="234"/>
      <c r="N25" s="234"/>
      <c r="O25" s="234"/>
      <c r="P25" s="234"/>
      <c r="Q25" s="234"/>
      <c r="R25" s="233"/>
      <c r="S25" s="232"/>
      <c r="T25" s="234"/>
      <c r="U25" s="233"/>
      <c r="V25" s="526">
        <f>Y25/0.3215*2</f>
        <v>9794420.055987557</v>
      </c>
      <c r="W25" s="235"/>
      <c r="X25" s="236">
        <v>18311</v>
      </c>
      <c r="Y25" s="224">
        <v>1574453.024</v>
      </c>
      <c r="Z25" s="237"/>
      <c r="AA25" s="238"/>
      <c r="AB25" s="528">
        <v>87469524.18322556</v>
      </c>
      <c r="AC25" s="232"/>
      <c r="AD25" s="234"/>
      <c r="AE25" s="239"/>
      <c r="AF25" s="240"/>
      <c r="AG25" s="31"/>
      <c r="AH25" s="104" t="s">
        <v>100</v>
      </c>
      <c r="AL25" s="96" t="s">
        <v>552</v>
      </c>
      <c r="AM25" s="103"/>
      <c r="AN25" s="100">
        <f>IF(AB25+V25=0,"n.a.",AB25+V25)</f>
        <v>97263944.23921311</v>
      </c>
      <c r="AO25" s="421">
        <f>IF(AN25/AN23=0,"n.a.",AN25/AN23)</f>
        <v>0.45776659144046816</v>
      </c>
    </row>
    <row r="26" spans="3:44" s="108" customFormat="1" ht="28.5" customHeight="1" thickBot="1">
      <c r="C26" s="104" t="s">
        <v>103</v>
      </c>
      <c r="D26" s="109"/>
      <c r="E26" s="110"/>
      <c r="F26" s="111"/>
      <c r="G26" s="112"/>
      <c r="H26" s="207"/>
      <c r="I26" s="207"/>
      <c r="J26" s="207"/>
      <c r="K26" s="207"/>
      <c r="L26" s="241"/>
      <c r="M26" s="241"/>
      <c r="N26" s="241"/>
      <c r="O26" s="241"/>
      <c r="P26" s="262">
        <f>SUM(V26:AF26)</f>
        <v>80039873.63793612</v>
      </c>
      <c r="Q26" s="116"/>
      <c r="R26" s="243" t="s">
        <v>104</v>
      </c>
      <c r="S26" s="208">
        <v>47352758.62059328</v>
      </c>
      <c r="T26" s="244">
        <v>30254346.505342834</v>
      </c>
      <c r="U26" s="263" t="s">
        <v>248</v>
      </c>
      <c r="V26" s="264">
        <v>77607105.12593612</v>
      </c>
      <c r="W26" s="208"/>
      <c r="X26" s="244">
        <v>27968</v>
      </c>
      <c r="Y26" s="122">
        <v>2404800.5119999996</v>
      </c>
      <c r="Z26" s="245"/>
      <c r="AA26" s="246"/>
      <c r="AB26" s="247"/>
      <c r="AC26" s="245"/>
      <c r="AD26" s="248"/>
      <c r="AE26" s="246"/>
      <c r="AF26" s="247"/>
      <c r="AG26" s="127"/>
      <c r="AH26" s="104" t="s">
        <v>103</v>
      </c>
      <c r="AJ26" s="1"/>
      <c r="AK26" s="1"/>
      <c r="AL26" s="96" t="s">
        <v>102</v>
      </c>
      <c r="AM26" s="97"/>
      <c r="AN26" s="549">
        <f>AO14/AL9</f>
        <v>0.15660658924147683</v>
      </c>
      <c r="AO26" s="107"/>
      <c r="AP26" s="1"/>
      <c r="AQ26" s="1"/>
      <c r="AR26" s="1"/>
    </row>
    <row r="27" spans="3:44" ht="28.5" customHeight="1">
      <c r="C27" s="13"/>
      <c r="D27" s="5"/>
      <c r="E27" s="128"/>
      <c r="F27" s="129"/>
      <c r="G27" s="128"/>
      <c r="H27" s="130"/>
      <c r="I27" s="130"/>
      <c r="J27" s="130"/>
      <c r="K27" s="18"/>
      <c r="L27" s="130"/>
      <c r="M27" s="130"/>
      <c r="N27" s="130"/>
      <c r="O27" s="131"/>
      <c r="P27" s="131"/>
      <c r="Q27" s="131"/>
      <c r="R27" s="5"/>
      <c r="S27" s="5"/>
      <c r="T27" s="131"/>
      <c r="U27" s="131"/>
      <c r="V27" s="132"/>
      <c r="W27" s="131"/>
      <c r="X27" s="131"/>
      <c r="Y27" s="131"/>
      <c r="Z27" s="133"/>
      <c r="AA27" s="133"/>
      <c r="AB27" s="544">
        <f>VLOOKUP(AC2,'JFSQ p70'!6:58,11,FALSE)*1000</f>
        <v>46106440</v>
      </c>
      <c r="AC27" s="134"/>
      <c r="AD27" s="5"/>
      <c r="AE27" s="5"/>
      <c r="AF27" s="135"/>
      <c r="AG27" s="31"/>
      <c r="AH27" s="136"/>
      <c r="AL27" s="96" t="s">
        <v>105</v>
      </c>
      <c r="AM27" s="103"/>
      <c r="AN27" s="107">
        <f>((AN23/Assumptions!F20)*Assumptions!F30/1000000)</f>
        <v>45.540469251673464</v>
      </c>
      <c r="AR27" s="108"/>
    </row>
    <row r="28" spans="3:44" s="20" customFormat="1" ht="22.5" customHeight="1">
      <c r="C28" s="137"/>
      <c r="D28" s="137"/>
      <c r="E28" s="138"/>
      <c r="F28" s="139"/>
      <c r="G28" s="140"/>
      <c r="H28" s="21" t="s">
        <v>4</v>
      </c>
      <c r="I28" s="22" t="s">
        <v>5</v>
      </c>
      <c r="J28" s="22" t="s">
        <v>6</v>
      </c>
      <c r="K28" s="22" t="s">
        <v>7</v>
      </c>
      <c r="L28" s="22" t="s">
        <v>8</v>
      </c>
      <c r="M28" s="22" t="s">
        <v>9</v>
      </c>
      <c r="N28" s="22" t="s">
        <v>10</v>
      </c>
      <c r="O28" s="23" t="s">
        <v>11</v>
      </c>
      <c r="P28" s="23" t="s">
        <v>12</v>
      </c>
      <c r="Q28" s="23" t="s">
        <v>13</v>
      </c>
      <c r="R28" s="23" t="s">
        <v>14</v>
      </c>
      <c r="S28" s="23" t="s">
        <v>15</v>
      </c>
      <c r="T28" s="23" t="s">
        <v>16</v>
      </c>
      <c r="U28" s="23" t="s">
        <v>17</v>
      </c>
      <c r="V28" s="23" t="s">
        <v>18</v>
      </c>
      <c r="W28" s="23" t="s">
        <v>19</v>
      </c>
      <c r="X28" s="23" t="s">
        <v>20</v>
      </c>
      <c r="Y28" s="23" t="s">
        <v>21</v>
      </c>
      <c r="Z28" s="25" t="s">
        <v>22</v>
      </c>
      <c r="AA28" s="23" t="s">
        <v>23</v>
      </c>
      <c r="AB28" s="23" t="s">
        <v>24</v>
      </c>
      <c r="AC28" s="23" t="s">
        <v>25</v>
      </c>
      <c r="AD28" s="23" t="s">
        <v>26</v>
      </c>
      <c r="AE28" s="23" t="s">
        <v>27</v>
      </c>
      <c r="AF28" s="25" t="s">
        <v>28</v>
      </c>
      <c r="AG28" s="31"/>
      <c r="AH28" s="31"/>
      <c r="AJ28" s="1"/>
      <c r="AK28" s="1"/>
      <c r="AN28" s="108"/>
      <c r="AO28" s="108"/>
      <c r="AP28" s="108"/>
      <c r="AQ28" s="108"/>
      <c r="AR28" s="1"/>
    </row>
    <row r="29" spans="3:44" s="12" customFormat="1" ht="10.5" customHeight="1" thickBot="1">
      <c r="C29" s="13"/>
      <c r="D29" s="14"/>
      <c r="E29" s="141"/>
      <c r="F29" s="139"/>
      <c r="G29" s="140"/>
      <c r="H29" s="17"/>
      <c r="I29" s="17"/>
      <c r="J29" s="17"/>
      <c r="K29" s="18"/>
      <c r="L29" s="17"/>
      <c r="M29" s="17"/>
      <c r="N29" s="17"/>
      <c r="O29" s="16"/>
      <c r="P29" s="16"/>
      <c r="Q29" s="16"/>
      <c r="R29" s="16"/>
      <c r="S29" s="16"/>
      <c r="T29" s="16"/>
      <c r="U29" s="16"/>
      <c r="V29" s="16"/>
      <c r="W29" s="16"/>
      <c r="X29" s="16"/>
      <c r="Y29" s="16"/>
      <c r="Z29" s="14"/>
      <c r="AA29" s="14"/>
      <c r="AB29" s="14"/>
      <c r="AC29" s="14"/>
      <c r="AD29" s="14"/>
      <c r="AE29" s="14"/>
      <c r="AF29" s="14"/>
      <c r="AG29" s="26"/>
      <c r="AH29" s="26"/>
      <c r="AJ29" s="1423" t="s">
        <v>255</v>
      </c>
      <c r="AK29" s="1287"/>
      <c r="AL29" s="1287"/>
      <c r="AM29" s="1287"/>
      <c r="AN29" s="1287"/>
      <c r="AO29" s="1287"/>
      <c r="AP29" s="1287"/>
      <c r="AQ29" s="1287"/>
      <c r="AR29" s="20"/>
    </row>
    <row r="30" spans="3:44" ht="15.75" customHeight="1" thickBot="1">
      <c r="C30" s="13"/>
      <c r="D30" s="5"/>
      <c r="E30" s="5"/>
      <c r="F30" s="9" t="s">
        <v>106</v>
      </c>
      <c r="G30" s="5"/>
      <c r="H30" s="4"/>
      <c r="I30" s="4"/>
      <c r="J30" s="4"/>
      <c r="K30" s="10"/>
      <c r="L30" s="4"/>
      <c r="M30" s="4"/>
      <c r="N30" s="4"/>
      <c r="O30" s="5"/>
      <c r="P30" s="5"/>
      <c r="Q30" s="5"/>
      <c r="R30" s="142"/>
      <c r="S30" s="5"/>
      <c r="T30" s="5"/>
      <c r="U30" s="5"/>
      <c r="V30" s="5"/>
      <c r="W30" s="5"/>
      <c r="X30" s="5"/>
      <c r="Y30" s="131"/>
      <c r="Z30" s="143"/>
      <c r="AA30" s="1395" t="s">
        <v>107</v>
      </c>
      <c r="AB30" s="1396"/>
      <c r="AC30" s="1396"/>
      <c r="AD30" s="1396"/>
      <c r="AE30" s="1396"/>
      <c r="AF30" s="1396"/>
      <c r="AG30" s="1396"/>
      <c r="AH30" s="1397"/>
      <c r="AJ30" s="1287"/>
      <c r="AK30" s="1287"/>
      <c r="AL30" s="1287"/>
      <c r="AM30" s="1287"/>
      <c r="AN30" s="1287"/>
      <c r="AO30" s="1287"/>
      <c r="AP30" s="1287"/>
      <c r="AQ30" s="1287"/>
      <c r="AR30" s="12"/>
    </row>
    <row r="31" spans="3:43" ht="15.75" customHeight="1" thickBot="1">
      <c r="C31" s="13"/>
      <c r="D31" s="5"/>
      <c r="E31" s="1418" t="s">
        <v>108</v>
      </c>
      <c r="F31" s="1419"/>
      <c r="G31" s="1419"/>
      <c r="H31" s="1420"/>
      <c r="I31" s="4"/>
      <c r="J31" s="4"/>
      <c r="K31" s="4"/>
      <c r="L31" s="4"/>
      <c r="M31" s="4"/>
      <c r="N31" s="4"/>
      <c r="O31" s="5"/>
      <c r="P31" s="5"/>
      <c r="Q31" s="5"/>
      <c r="R31" s="5"/>
      <c r="S31" s="5"/>
      <c r="T31" s="5"/>
      <c r="U31" s="5"/>
      <c r="V31" s="5"/>
      <c r="W31" s="5"/>
      <c r="X31" s="5"/>
      <c r="Y31" s="131"/>
      <c r="Z31" s="146"/>
      <c r="AA31" s="1395" t="s">
        <v>109</v>
      </c>
      <c r="AB31" s="1421"/>
      <c r="AC31" s="1421"/>
      <c r="AD31" s="1421"/>
      <c r="AE31" s="1421"/>
      <c r="AF31" s="1421"/>
      <c r="AG31" s="1421"/>
      <c r="AH31" s="1422"/>
      <c r="AI31" s="147"/>
      <c r="AJ31" s="1287"/>
      <c r="AK31" s="1287"/>
      <c r="AL31" s="1287"/>
      <c r="AM31" s="1287"/>
      <c r="AN31" s="1287"/>
      <c r="AO31" s="1287"/>
      <c r="AP31" s="1287"/>
      <c r="AQ31" s="1287"/>
    </row>
    <row r="32" spans="3:43" ht="15.75" customHeight="1" thickBot="1">
      <c r="C32" s="13"/>
      <c r="D32" s="5"/>
      <c r="E32" s="1418" t="s">
        <v>110</v>
      </c>
      <c r="F32" s="1419"/>
      <c r="G32" s="1419"/>
      <c r="H32" s="1420"/>
      <c r="I32" s="148"/>
      <c r="J32" s="148"/>
      <c r="K32" s="148"/>
      <c r="L32" s="148"/>
      <c r="M32" s="148"/>
      <c r="N32" s="148"/>
      <c r="O32" s="149"/>
      <c r="P32" s="149"/>
      <c r="Q32" s="149"/>
      <c r="R32" s="149"/>
      <c r="S32" s="149"/>
      <c r="T32" s="149"/>
      <c r="U32" s="149"/>
      <c r="V32" s="149"/>
      <c r="W32" s="31"/>
      <c r="X32" s="3"/>
      <c r="Y32" s="5"/>
      <c r="Z32" s="150"/>
      <c r="AA32" s="1395" t="s">
        <v>111</v>
      </c>
      <c r="AB32" s="1396"/>
      <c r="AC32" s="1396"/>
      <c r="AD32" s="1396"/>
      <c r="AE32" s="1396"/>
      <c r="AF32" s="1396"/>
      <c r="AG32" s="1396"/>
      <c r="AH32" s="1397"/>
      <c r="AI32" s="151"/>
      <c r="AJ32" s="1287"/>
      <c r="AK32" s="1287"/>
      <c r="AL32" s="1287"/>
      <c r="AM32" s="1287"/>
      <c r="AN32" s="1287"/>
      <c r="AO32" s="1287"/>
      <c r="AP32" s="1287"/>
      <c r="AQ32" s="1287"/>
    </row>
    <row r="33" spans="3:44" s="152" customFormat="1" ht="15.75" customHeight="1" thickBot="1">
      <c r="C33" s="13"/>
      <c r="D33" s="142"/>
      <c r="E33" s="1418" t="s">
        <v>118</v>
      </c>
      <c r="F33" s="1419"/>
      <c r="G33" s="1419"/>
      <c r="H33" s="1420"/>
      <c r="I33" s="148"/>
      <c r="J33" s="148"/>
      <c r="K33" s="148"/>
      <c r="L33" s="148"/>
      <c r="M33" s="148"/>
      <c r="N33" s="148"/>
      <c r="O33" s="149"/>
      <c r="P33" s="149"/>
      <c r="Q33" s="149"/>
      <c r="R33" s="149"/>
      <c r="S33" s="149"/>
      <c r="T33" s="149"/>
      <c r="U33" s="149"/>
      <c r="V33" s="149"/>
      <c r="W33" s="153"/>
      <c r="X33" s="153">
        <f>X25*9.36</f>
        <v>171390.96</v>
      </c>
      <c r="Y33" s="142" t="s">
        <v>112</v>
      </c>
      <c r="Z33" s="154" t="s">
        <v>113</v>
      </c>
      <c r="AA33" s="144"/>
      <c r="AB33" s="144"/>
      <c r="AC33" s="144"/>
      <c r="AD33" s="144"/>
      <c r="AE33" s="144"/>
      <c r="AF33" s="144"/>
      <c r="AG33" s="144"/>
      <c r="AH33" s="145"/>
      <c r="AI33" s="155"/>
      <c r="AJ33" s="1"/>
      <c r="AK33" s="1"/>
      <c r="AL33" s="1"/>
      <c r="AM33" s="1"/>
      <c r="AN33" s="1"/>
      <c r="AO33" s="1"/>
      <c r="AP33" s="1"/>
      <c r="AQ33" s="1"/>
      <c r="AR33" s="1"/>
    </row>
    <row r="34" spans="3:23" s="152" customFormat="1" ht="9.75" customHeight="1">
      <c r="C34" s="156"/>
      <c r="F34" s="157"/>
      <c r="H34" s="158"/>
      <c r="I34" s="158"/>
      <c r="J34" s="158"/>
      <c r="K34" s="158"/>
      <c r="L34" s="158"/>
      <c r="M34" s="158"/>
      <c r="N34" s="159"/>
      <c r="O34" s="1"/>
      <c r="P34" s="1"/>
      <c r="Q34" s="1"/>
      <c r="R34" s="1"/>
      <c r="V34" s="160"/>
      <c r="W34" s="160"/>
    </row>
    <row r="35" spans="3:14" s="152" customFormat="1" ht="9.75" customHeight="1">
      <c r="C35" s="156"/>
      <c r="F35" s="157"/>
      <c r="H35" s="158"/>
      <c r="I35" s="158"/>
      <c r="J35" s="158"/>
      <c r="K35" s="158"/>
      <c r="L35" s="158"/>
      <c r="M35" s="158"/>
      <c r="N35" s="158"/>
    </row>
    <row r="36" spans="3:14" s="152" customFormat="1" ht="9.75" customHeight="1">
      <c r="C36" s="156"/>
      <c r="F36" s="157"/>
      <c r="H36" s="158"/>
      <c r="I36" s="158"/>
      <c r="J36" s="158"/>
      <c r="K36" s="161"/>
      <c r="L36" s="158"/>
      <c r="M36" s="158"/>
      <c r="N36" s="158"/>
    </row>
    <row r="37" spans="3:44" s="59" customFormat="1" ht="12" customHeight="1">
      <c r="C37" s="156"/>
      <c r="F37" s="162"/>
      <c r="H37" s="158"/>
      <c r="I37" s="158"/>
      <c r="J37" s="158"/>
      <c r="K37" s="161"/>
      <c r="L37" s="163"/>
      <c r="M37" s="163"/>
      <c r="N37" s="163"/>
      <c r="W37" s="164"/>
      <c r="X37" s="164">
        <f>X33/42000</f>
        <v>4.080737142857143</v>
      </c>
      <c r="Y37" s="152"/>
      <c r="Z37" s="152"/>
      <c r="AA37" s="152"/>
      <c r="AB37" s="152"/>
      <c r="AC37" s="152"/>
      <c r="AG37" s="152"/>
      <c r="AH37" s="152"/>
      <c r="AJ37" s="152"/>
      <c r="AK37" s="152"/>
      <c r="AL37" s="152"/>
      <c r="AM37" s="152"/>
      <c r="AN37" s="152"/>
      <c r="AO37" s="152"/>
      <c r="AP37" s="152"/>
      <c r="AQ37" s="152"/>
      <c r="AR37" s="152"/>
    </row>
    <row r="38" spans="3:29" s="59" customFormat="1" ht="18.75">
      <c r="C38" s="156"/>
      <c r="F38" s="162"/>
      <c r="H38" s="158"/>
      <c r="I38" s="158"/>
      <c r="J38" s="158"/>
      <c r="K38" s="161"/>
      <c r="L38" s="163"/>
      <c r="M38" s="163"/>
      <c r="N38" s="163"/>
      <c r="W38" s="164"/>
      <c r="X38" s="164"/>
      <c r="Y38" s="152"/>
      <c r="Z38" s="152"/>
      <c r="AA38" s="152"/>
      <c r="AB38" s="152"/>
      <c r="AC38" s="152"/>
    </row>
    <row r="39" spans="8:44" ht="18.75">
      <c r="H39" s="158"/>
      <c r="I39" s="158"/>
      <c r="J39" s="158"/>
      <c r="K39" s="161"/>
      <c r="Y39" s="58"/>
      <c r="Z39" s="59"/>
      <c r="AA39" s="59"/>
      <c r="AB39" s="59"/>
      <c r="AC39" s="59"/>
      <c r="AG39" s="59"/>
      <c r="AH39" s="59"/>
      <c r="AJ39" s="59"/>
      <c r="AK39" s="59"/>
      <c r="AL39" s="59">
        <f>727000*2</f>
        <v>1454000</v>
      </c>
      <c r="AM39" s="422">
        <f>(AL39*2+AN25)/AN23</f>
        <v>0.47145290920519844</v>
      </c>
      <c r="AN39" s="59"/>
      <c r="AO39" s="59"/>
      <c r="AP39" s="59"/>
      <c r="AQ39" s="59"/>
      <c r="AR39" s="59"/>
    </row>
    <row r="40" spans="8:39" ht="18.75">
      <c r="H40" s="158"/>
      <c r="I40" s="158"/>
      <c r="J40" s="158"/>
      <c r="K40" s="166"/>
      <c r="T40" s="35"/>
      <c r="Y40" s="59"/>
      <c r="Z40" s="59"/>
      <c r="AA40" s="59"/>
      <c r="AB40" s="59"/>
      <c r="AC40" s="59"/>
      <c r="AM40" s="1">
        <v>9</v>
      </c>
    </row>
    <row r="41" spans="6:11" ht="18.75">
      <c r="F41" s="167"/>
      <c r="K41" s="168"/>
    </row>
    <row r="42" spans="6:11" ht="18.75">
      <c r="F42" s="167"/>
      <c r="K42" s="168"/>
    </row>
    <row r="43" ht="18.75">
      <c r="K43" s="168"/>
    </row>
    <row r="44" ht="18.75">
      <c r="T44" s="35"/>
    </row>
    <row r="45" spans="20:37" ht="18.75">
      <c r="T45" s="35"/>
      <c r="AK45" s="1" t="s">
        <v>276</v>
      </c>
    </row>
    <row r="47" spans="37:43" ht="18.75">
      <c r="AK47" s="433" t="s">
        <v>272</v>
      </c>
      <c r="AL47" s="433"/>
      <c r="AM47" s="433" t="s">
        <v>273</v>
      </c>
      <c r="AN47" s="433"/>
      <c r="AO47" s="433" t="s">
        <v>274</v>
      </c>
      <c r="AP47" s="433"/>
      <c r="AQ47" s="433" t="s">
        <v>275</v>
      </c>
    </row>
    <row r="48" spans="37:43" ht="18.75">
      <c r="AK48" s="432">
        <v>820000000000000</v>
      </c>
      <c r="AL48" s="435" t="s">
        <v>277</v>
      </c>
      <c r="AM48" s="434">
        <f>AK48*1.055</f>
        <v>865100000000000</v>
      </c>
      <c r="AN48" s="435" t="s">
        <v>277</v>
      </c>
      <c r="AO48" s="434">
        <f>AK48*0.252</f>
        <v>206640000000000</v>
      </c>
      <c r="AP48" s="435" t="s">
        <v>277</v>
      </c>
      <c r="AQ48" s="434">
        <f>AM48/1000000/42</f>
        <v>20597619.04761905</v>
      </c>
    </row>
    <row r="49" spans="37:43" ht="18.75">
      <c r="AK49" s="434"/>
      <c r="AL49" s="435"/>
      <c r="AM49" s="434"/>
      <c r="AN49" s="435"/>
      <c r="AO49" s="434"/>
      <c r="AP49" s="435"/>
      <c r="AQ49" s="434"/>
    </row>
    <row r="50" spans="14:43" ht="18.75">
      <c r="N50" s="35"/>
      <c r="AK50" s="434">
        <f>AM50/1.055</f>
        <v>125118483.41232228</v>
      </c>
      <c r="AL50" s="435" t="s">
        <v>278</v>
      </c>
      <c r="AM50" s="432">
        <v>132000000</v>
      </c>
      <c r="AN50" s="435" t="s">
        <v>277</v>
      </c>
      <c r="AO50" s="434">
        <f>AK50*0.252</f>
        <v>31529857.819905214</v>
      </c>
      <c r="AP50" s="435" t="s">
        <v>277</v>
      </c>
      <c r="AQ50" s="455">
        <f>AM50/1000000/42</f>
        <v>3.142857142857143</v>
      </c>
    </row>
    <row r="51" spans="14:43" ht="18.75">
      <c r="N51" s="1"/>
      <c r="AK51" s="434"/>
      <c r="AL51" s="435"/>
      <c r="AM51" s="434"/>
      <c r="AN51" s="435"/>
      <c r="AO51" s="434"/>
      <c r="AP51" s="435"/>
      <c r="AQ51" s="434"/>
    </row>
    <row r="52" spans="14:43" ht="18.75">
      <c r="N52" s="1"/>
      <c r="AK52" s="434">
        <f>AO52/0.252</f>
        <v>39682539.68253968</v>
      </c>
      <c r="AL52" s="435" t="s">
        <v>278</v>
      </c>
      <c r="AM52" s="434">
        <f>(AO52/0.252)*1.055</f>
        <v>41865079.36507936</v>
      </c>
      <c r="AN52" s="435" t="s">
        <v>278</v>
      </c>
      <c r="AO52" s="432">
        <v>10000000</v>
      </c>
      <c r="AP52" s="435" t="s">
        <v>277</v>
      </c>
      <c r="AQ52" s="434">
        <f>AM52/42000000</f>
        <v>0.996787603930461</v>
      </c>
    </row>
    <row r="53" spans="14:43" ht="18.75">
      <c r="N53" s="1"/>
      <c r="T53" s="35"/>
      <c r="AK53" s="434"/>
      <c r="AL53" s="435"/>
      <c r="AM53" s="434"/>
      <c r="AN53" s="435"/>
      <c r="AO53" s="434"/>
      <c r="AP53" s="435"/>
      <c r="AQ53" s="434"/>
    </row>
    <row r="54" spans="14:43" ht="18.75">
      <c r="N54" s="35"/>
      <c r="AK54" s="434">
        <f>AM54/1.055</f>
        <v>2205497630331753.8</v>
      </c>
      <c r="AL54" s="435" t="s">
        <v>278</v>
      </c>
      <c r="AM54" s="434">
        <f>AQ54*42000000</f>
        <v>2326800000000000</v>
      </c>
      <c r="AN54" s="435" t="s">
        <v>278</v>
      </c>
      <c r="AO54" s="434"/>
      <c r="AP54" s="435" t="s">
        <v>278</v>
      </c>
      <c r="AQ54" s="432">
        <v>55400000</v>
      </c>
    </row>
    <row r="55" spans="14:40" ht="18.75">
      <c r="N55" s="35"/>
      <c r="AN55" s="433"/>
    </row>
    <row r="56" ht="18.75">
      <c r="N56" s="35"/>
    </row>
    <row r="62" spans="6:18" ht="18.75">
      <c r="F62" s="170"/>
      <c r="G62" s="151"/>
      <c r="H62" s="171"/>
      <c r="I62" s="171"/>
      <c r="J62" s="171"/>
      <c r="K62" s="172"/>
      <c r="L62" s="171"/>
      <c r="M62" s="171"/>
      <c r="N62" s="171"/>
      <c r="O62" s="151"/>
      <c r="P62" s="151"/>
      <c r="Q62" s="151"/>
      <c r="R62" s="151"/>
    </row>
    <row r="63" spans="6:18" ht="18.75">
      <c r="F63" s="170"/>
      <c r="G63" s="173"/>
      <c r="H63" s="174"/>
      <c r="I63" s="175"/>
      <c r="J63" s="175"/>
      <c r="K63" s="172"/>
      <c r="L63" s="171"/>
      <c r="M63" s="171"/>
      <c r="N63" s="171"/>
      <c r="O63" s="151"/>
      <c r="P63" s="151"/>
      <c r="Q63" s="151"/>
      <c r="R63" s="151"/>
    </row>
    <row r="64" spans="6:18" ht="17.25" customHeight="1">
      <c r="F64" s="170"/>
      <c r="G64" s="176"/>
      <c r="H64" s="174"/>
      <c r="I64" s="175"/>
      <c r="J64" s="175"/>
      <c r="K64" s="172"/>
      <c r="L64" s="171"/>
      <c r="M64" s="171"/>
      <c r="N64" s="171"/>
      <c r="O64" s="151"/>
      <c r="P64" s="151"/>
      <c r="Q64" s="151"/>
      <c r="R64" s="151"/>
    </row>
    <row r="65" spans="6:18" ht="18.75">
      <c r="F65" s="170"/>
      <c r="G65" s="176"/>
      <c r="H65" s="174"/>
      <c r="I65" s="175"/>
      <c r="J65" s="175"/>
      <c r="K65" s="172"/>
      <c r="L65" s="171"/>
      <c r="M65" s="171"/>
      <c r="N65" s="171"/>
      <c r="O65" s="151"/>
      <c r="P65" s="151"/>
      <c r="Q65" s="151"/>
      <c r="R65" s="151"/>
    </row>
    <row r="66" spans="6:18" ht="18.75">
      <c r="F66" s="170"/>
      <c r="G66" s="177"/>
      <c r="H66" s="174"/>
      <c r="I66" s="175"/>
      <c r="J66" s="175"/>
      <c r="K66" s="172"/>
      <c r="L66" s="171"/>
      <c r="M66" s="171"/>
      <c r="N66" s="171"/>
      <c r="O66" s="151"/>
      <c r="P66" s="151"/>
      <c r="Q66" s="151"/>
      <c r="R66" s="151"/>
    </row>
    <row r="67" spans="6:18" ht="18.75">
      <c r="F67" s="170"/>
      <c r="G67" s="173"/>
      <c r="H67" s="174"/>
      <c r="I67" s="175"/>
      <c r="J67" s="175"/>
      <c r="K67" s="172"/>
      <c r="L67" s="171"/>
      <c r="M67" s="171"/>
      <c r="N67" s="171"/>
      <c r="O67" s="151"/>
      <c r="P67" s="151"/>
      <c r="Q67" s="151"/>
      <c r="R67" s="151"/>
    </row>
    <row r="68" spans="6:18" ht="18.75">
      <c r="F68" s="170"/>
      <c r="G68" s="176"/>
      <c r="H68" s="174"/>
      <c r="I68" s="175"/>
      <c r="J68" s="175"/>
      <c r="K68" s="172"/>
      <c r="L68" s="171"/>
      <c r="M68" s="171"/>
      <c r="N68" s="171"/>
      <c r="O68" s="151"/>
      <c r="P68" s="151"/>
      <c r="Q68" s="151"/>
      <c r="R68" s="151"/>
    </row>
    <row r="69" spans="6:18" ht="18.75">
      <c r="F69" s="170"/>
      <c r="G69" s="177"/>
      <c r="H69" s="174"/>
      <c r="I69" s="175"/>
      <c r="J69" s="175"/>
      <c r="K69" s="172"/>
      <c r="L69" s="171"/>
      <c r="M69" s="171"/>
      <c r="N69" s="171"/>
      <c r="O69" s="151"/>
      <c r="P69" s="151"/>
      <c r="Q69" s="151"/>
      <c r="R69" s="151"/>
    </row>
    <row r="70" spans="6:18" ht="18.75">
      <c r="F70" s="170"/>
      <c r="G70" s="177"/>
      <c r="H70" s="174"/>
      <c r="I70" s="175"/>
      <c r="J70" s="175"/>
      <c r="K70" s="172"/>
      <c r="L70" s="171"/>
      <c r="M70" s="171"/>
      <c r="N70" s="171"/>
      <c r="O70" s="151"/>
      <c r="P70" s="151"/>
      <c r="Q70" s="151"/>
      <c r="R70" s="151"/>
    </row>
    <row r="71" spans="6:18" ht="18.75">
      <c r="F71" s="170"/>
      <c r="G71" s="178"/>
      <c r="H71" s="174"/>
      <c r="I71" s="175"/>
      <c r="J71" s="175"/>
      <c r="K71" s="172"/>
      <c r="L71" s="171"/>
      <c r="M71" s="171"/>
      <c r="N71" s="171"/>
      <c r="O71" s="151"/>
      <c r="P71" s="151"/>
      <c r="Q71" s="151"/>
      <c r="R71" s="151"/>
    </row>
    <row r="72" spans="6:18" ht="18.75">
      <c r="F72" s="170"/>
      <c r="G72" s="176"/>
      <c r="H72" s="174"/>
      <c r="I72" s="175"/>
      <c r="J72" s="175"/>
      <c r="K72" s="172"/>
      <c r="L72" s="171"/>
      <c r="M72" s="171"/>
      <c r="N72" s="171"/>
      <c r="O72" s="151"/>
      <c r="P72" s="151"/>
      <c r="Q72" s="151"/>
      <c r="R72" s="151"/>
    </row>
    <row r="73" spans="6:18" ht="18.75">
      <c r="F73" s="170"/>
      <c r="G73" s="177"/>
      <c r="H73" s="174"/>
      <c r="I73" s="175"/>
      <c r="J73" s="175"/>
      <c r="K73" s="172"/>
      <c r="L73" s="171"/>
      <c r="M73" s="171"/>
      <c r="N73" s="171"/>
      <c r="O73" s="151"/>
      <c r="P73" s="151"/>
      <c r="Q73" s="151"/>
      <c r="R73" s="151"/>
    </row>
    <row r="74" spans="6:18" ht="18.75">
      <c r="F74" s="170"/>
      <c r="G74" s="177"/>
      <c r="H74" s="174"/>
      <c r="I74" s="175"/>
      <c r="J74" s="175"/>
      <c r="K74" s="172"/>
      <c r="L74" s="171"/>
      <c r="M74" s="171"/>
      <c r="N74" s="171"/>
      <c r="O74" s="151"/>
      <c r="P74" s="151"/>
      <c r="Q74" s="151"/>
      <c r="R74" s="151"/>
    </row>
    <row r="75" spans="6:18" ht="18.75">
      <c r="F75" s="170"/>
      <c r="G75" s="178"/>
      <c r="H75" s="174"/>
      <c r="I75" s="175"/>
      <c r="J75" s="175"/>
      <c r="K75" s="172"/>
      <c r="L75" s="171"/>
      <c r="M75" s="171"/>
      <c r="N75" s="171"/>
      <c r="O75" s="151"/>
      <c r="P75" s="151"/>
      <c r="Q75" s="151"/>
      <c r="R75" s="151"/>
    </row>
    <row r="76" spans="6:18" ht="18.75">
      <c r="F76" s="170"/>
      <c r="G76" s="179"/>
      <c r="H76" s="174"/>
      <c r="I76" s="175"/>
      <c r="J76" s="175"/>
      <c r="K76" s="172"/>
      <c r="L76" s="171"/>
      <c r="M76" s="171"/>
      <c r="N76" s="171"/>
      <c r="O76" s="151"/>
      <c r="P76" s="151"/>
      <c r="Q76" s="151"/>
      <c r="R76" s="151"/>
    </row>
    <row r="77" spans="6:18" ht="18.75">
      <c r="F77" s="170"/>
      <c r="G77" s="180"/>
      <c r="H77" s="174"/>
      <c r="I77" s="175"/>
      <c r="J77" s="175"/>
      <c r="K77" s="172"/>
      <c r="L77" s="171"/>
      <c r="M77" s="171"/>
      <c r="N77" s="171"/>
      <c r="O77" s="151"/>
      <c r="P77" s="151"/>
      <c r="Q77" s="151"/>
      <c r="R77" s="151"/>
    </row>
    <row r="78" spans="6:18" ht="18.75">
      <c r="F78" s="170"/>
      <c r="G78" s="176"/>
      <c r="H78" s="174"/>
      <c r="I78" s="175"/>
      <c r="J78" s="175"/>
      <c r="K78" s="172"/>
      <c r="L78" s="171"/>
      <c r="M78" s="171"/>
      <c r="N78" s="171"/>
      <c r="O78" s="151"/>
      <c r="P78" s="151"/>
      <c r="Q78" s="151"/>
      <c r="R78" s="151"/>
    </row>
    <row r="79" spans="6:18" ht="18.75">
      <c r="F79" s="170"/>
      <c r="G79" s="177"/>
      <c r="H79" s="174"/>
      <c r="I79" s="175"/>
      <c r="J79" s="175"/>
      <c r="K79" s="172"/>
      <c r="L79" s="171"/>
      <c r="M79" s="171"/>
      <c r="N79" s="171"/>
      <c r="O79" s="151"/>
      <c r="P79" s="151"/>
      <c r="Q79" s="151"/>
      <c r="R79" s="151"/>
    </row>
    <row r="80" spans="6:18" ht="18.75">
      <c r="F80" s="170"/>
      <c r="G80" s="177"/>
      <c r="H80" s="174"/>
      <c r="I80" s="175"/>
      <c r="J80" s="175"/>
      <c r="K80" s="172"/>
      <c r="L80" s="171"/>
      <c r="M80" s="171"/>
      <c r="N80" s="171"/>
      <c r="O80" s="151"/>
      <c r="P80" s="151"/>
      <c r="Q80" s="151"/>
      <c r="R80" s="151"/>
    </row>
    <row r="81" spans="6:18" ht="18.75">
      <c r="F81" s="170"/>
      <c r="G81" s="177"/>
      <c r="H81" s="174"/>
      <c r="I81" s="175"/>
      <c r="J81" s="175"/>
      <c r="K81" s="172"/>
      <c r="L81" s="171"/>
      <c r="M81" s="171"/>
      <c r="N81" s="171"/>
      <c r="O81" s="151"/>
      <c r="P81" s="151"/>
      <c r="Q81" s="151"/>
      <c r="R81" s="151"/>
    </row>
    <row r="82" spans="6:18" ht="18.75">
      <c r="F82" s="170"/>
      <c r="G82" s="173"/>
      <c r="H82" s="181"/>
      <c r="I82" s="175"/>
      <c r="J82" s="175"/>
      <c r="K82" s="172"/>
      <c r="L82" s="171"/>
      <c r="M82" s="171"/>
      <c r="N82" s="171"/>
      <c r="O82" s="151"/>
      <c r="P82" s="151"/>
      <c r="Q82" s="151"/>
      <c r="R82" s="151"/>
    </row>
    <row r="83" spans="6:18" ht="18.75">
      <c r="F83" s="170"/>
      <c r="G83" s="176"/>
      <c r="H83" s="181"/>
      <c r="I83" s="175"/>
      <c r="J83" s="175"/>
      <c r="K83" s="172"/>
      <c r="L83" s="171"/>
      <c r="M83" s="171"/>
      <c r="N83" s="171"/>
      <c r="O83" s="151"/>
      <c r="P83" s="151"/>
      <c r="Q83" s="151"/>
      <c r="R83" s="151"/>
    </row>
    <row r="84" spans="6:18" ht="18.75">
      <c r="F84" s="170"/>
      <c r="G84" s="176"/>
      <c r="H84" s="181"/>
      <c r="I84" s="175"/>
      <c r="J84" s="175"/>
      <c r="K84" s="172"/>
      <c r="L84" s="171"/>
      <c r="M84" s="171"/>
      <c r="N84" s="171"/>
      <c r="O84" s="151"/>
      <c r="P84" s="151"/>
      <c r="Q84" s="151"/>
      <c r="R84" s="151"/>
    </row>
    <row r="85" spans="6:18" ht="18.75">
      <c r="F85" s="170"/>
      <c r="G85" s="176"/>
      <c r="H85" s="181"/>
      <c r="I85" s="175"/>
      <c r="J85" s="175"/>
      <c r="K85" s="172"/>
      <c r="L85" s="171"/>
      <c r="M85" s="171"/>
      <c r="N85" s="171"/>
      <c r="O85" s="151"/>
      <c r="P85" s="151"/>
      <c r="Q85" s="151"/>
      <c r="R85" s="151"/>
    </row>
    <row r="86" spans="6:18" ht="18.75">
      <c r="F86" s="170"/>
      <c r="G86" s="177"/>
      <c r="H86" s="181"/>
      <c r="I86" s="175"/>
      <c r="J86" s="175"/>
      <c r="K86" s="172"/>
      <c r="L86" s="171"/>
      <c r="M86" s="171"/>
      <c r="N86" s="171"/>
      <c r="O86" s="151"/>
      <c r="P86" s="151"/>
      <c r="Q86" s="151"/>
      <c r="R86" s="151"/>
    </row>
    <row r="87" spans="6:18" ht="18.75">
      <c r="F87" s="170"/>
      <c r="G87" s="177"/>
      <c r="H87" s="181"/>
      <c r="I87" s="175"/>
      <c r="J87" s="175"/>
      <c r="K87" s="172"/>
      <c r="L87" s="171"/>
      <c r="M87" s="171"/>
      <c r="N87" s="171"/>
      <c r="O87" s="151"/>
      <c r="P87" s="151"/>
      <c r="Q87" s="151"/>
      <c r="R87" s="151"/>
    </row>
    <row r="88" spans="6:18" ht="18.75">
      <c r="F88" s="170"/>
      <c r="G88" s="177"/>
      <c r="H88" s="181"/>
      <c r="I88" s="175"/>
      <c r="J88" s="175"/>
      <c r="K88" s="172"/>
      <c r="L88" s="171"/>
      <c r="M88" s="171"/>
      <c r="N88" s="171"/>
      <c r="O88" s="151"/>
      <c r="P88" s="151"/>
      <c r="Q88" s="151"/>
      <c r="R88" s="151"/>
    </row>
    <row r="89" spans="6:18" ht="18.75">
      <c r="F89" s="170"/>
      <c r="G89" s="177"/>
      <c r="H89" s="181"/>
      <c r="I89" s="175"/>
      <c r="J89" s="175"/>
      <c r="K89" s="172"/>
      <c r="L89" s="171"/>
      <c r="M89" s="171"/>
      <c r="N89" s="171"/>
      <c r="O89" s="151"/>
      <c r="P89" s="151"/>
      <c r="Q89" s="151"/>
      <c r="R89" s="151"/>
    </row>
    <row r="90" spans="6:18" ht="18.75">
      <c r="F90" s="170"/>
      <c r="G90" s="176"/>
      <c r="H90" s="181"/>
      <c r="I90" s="175"/>
      <c r="J90" s="175"/>
      <c r="K90" s="172"/>
      <c r="L90" s="171"/>
      <c r="M90" s="171"/>
      <c r="N90" s="171"/>
      <c r="O90" s="151"/>
      <c r="P90" s="151"/>
      <c r="Q90" s="151"/>
      <c r="R90" s="151"/>
    </row>
    <row r="91" spans="6:18" ht="18.75">
      <c r="F91" s="170"/>
      <c r="G91" s="151"/>
      <c r="H91" s="171"/>
      <c r="I91" s="171"/>
      <c r="J91" s="171"/>
      <c r="K91" s="172"/>
      <c r="L91" s="171"/>
      <c r="M91" s="171"/>
      <c r="N91" s="171"/>
      <c r="O91" s="151"/>
      <c r="P91" s="151"/>
      <c r="Q91" s="151"/>
      <c r="R91" s="151"/>
    </row>
    <row r="92" spans="6:18" ht="18.75">
      <c r="F92" s="170"/>
      <c r="G92" s="151"/>
      <c r="H92" s="171"/>
      <c r="I92" s="171"/>
      <c r="J92" s="171"/>
      <c r="K92" s="172"/>
      <c r="L92" s="171"/>
      <c r="M92" s="171"/>
      <c r="N92" s="171"/>
      <c r="O92" s="151"/>
      <c r="P92" s="151"/>
      <c r="Q92" s="151"/>
      <c r="R92" s="151"/>
    </row>
    <row r="93" spans="6:18" ht="18.75">
      <c r="F93" s="170"/>
      <c r="G93" s="151"/>
      <c r="H93" s="171"/>
      <c r="I93" s="171"/>
      <c r="J93" s="171"/>
      <c r="K93" s="172"/>
      <c r="L93" s="171"/>
      <c r="M93" s="171"/>
      <c r="N93" s="171"/>
      <c r="O93" s="151"/>
      <c r="P93" s="151"/>
      <c r="Q93" s="151"/>
      <c r="R93" s="151"/>
    </row>
    <row r="94" spans="6:18" ht="18.75">
      <c r="F94" s="170"/>
      <c r="G94" s="151"/>
      <c r="H94" s="171"/>
      <c r="I94" s="171"/>
      <c r="J94" s="171"/>
      <c r="K94" s="172"/>
      <c r="L94" s="171"/>
      <c r="M94" s="171"/>
      <c r="N94" s="171"/>
      <c r="O94" s="151"/>
      <c r="P94" s="151"/>
      <c r="Q94" s="151"/>
      <c r="R94" s="151"/>
    </row>
    <row r="95" spans="6:18" ht="18.75">
      <c r="F95" s="170"/>
      <c r="G95" s="151"/>
      <c r="H95" s="171"/>
      <c r="I95" s="171"/>
      <c r="J95" s="171"/>
      <c r="K95" s="172"/>
      <c r="L95" s="171"/>
      <c r="M95" s="171"/>
      <c r="N95" s="171"/>
      <c r="O95" s="151"/>
      <c r="P95" s="151"/>
      <c r="Q95" s="151"/>
      <c r="R95" s="151"/>
    </row>
  </sheetData>
  <mergeCells count="44">
    <mergeCell ref="AJ10:AK11"/>
    <mergeCell ref="AO17:AP18"/>
    <mergeCell ref="AK19:AN19"/>
    <mergeCell ref="AP19:AQ19"/>
    <mergeCell ref="AN10:AN11"/>
    <mergeCell ref="AJ29:AQ32"/>
    <mergeCell ref="C6:G7"/>
    <mergeCell ref="C3:M3"/>
    <mergeCell ref="C1:M2"/>
    <mergeCell ref="F9:G11"/>
    <mergeCell ref="H9:H12"/>
    <mergeCell ref="M11:M12"/>
    <mergeCell ref="AE9:AF9"/>
    <mergeCell ref="Z10:AF10"/>
    <mergeCell ref="AD11:AD12"/>
    <mergeCell ref="E32:H32"/>
    <mergeCell ref="E33:H33"/>
    <mergeCell ref="E31:H31"/>
    <mergeCell ref="AA31:AH31"/>
    <mergeCell ref="AA32:AH32"/>
    <mergeCell ref="S9:AD9"/>
    <mergeCell ref="S10:Y10"/>
    <mergeCell ref="AE11:AE12"/>
    <mergeCell ref="AC11:AC12"/>
    <mergeCell ref="S11:V11"/>
    <mergeCell ref="W11:Y11"/>
    <mergeCell ref="AA30:AH30"/>
    <mergeCell ref="L11:L12"/>
    <mergeCell ref="AC2:AG2"/>
    <mergeCell ref="AD1:AH1"/>
    <mergeCell ref="P3:AJ3"/>
    <mergeCell ref="AC4:AG4"/>
    <mergeCell ref="O11:O12"/>
    <mergeCell ref="Z11:AB11"/>
    <mergeCell ref="L8:AF8"/>
    <mergeCell ref="AF11:AF12"/>
    <mergeCell ref="N11:N12"/>
    <mergeCell ref="L9:R10"/>
    <mergeCell ref="P11:R11"/>
    <mergeCell ref="E13:E25"/>
    <mergeCell ref="J9:J12"/>
    <mergeCell ref="K9:K12"/>
    <mergeCell ref="I9:I12"/>
    <mergeCell ref="M18:N18"/>
  </mergeCells>
  <printOptions/>
  <pageMargins left="0.5" right="0.1968503937007874" top="0.38" bottom="0.1968503937007874" header="0.37" footer="0.1968503937007874"/>
  <pageSetup horizontalDpi="600" verticalDpi="600" orientation="landscape" paperSize="9" scale="75" r:id="rId4"/>
  <drawing r:id="rId3"/>
  <legacyDrawing r:id="rId2"/>
</worksheet>
</file>

<file path=xl/worksheets/sheet27.xml><?xml version="1.0" encoding="utf-8"?>
<worksheet xmlns="http://schemas.openxmlformats.org/spreadsheetml/2006/main" xmlns:r="http://schemas.openxmlformats.org/officeDocument/2006/relationships">
  <sheetPr>
    <tabColor indexed="12"/>
  </sheetPr>
  <dimension ref="A1:J66"/>
  <sheetViews>
    <sheetView showGridLines="0" workbookViewId="0" topLeftCell="A1">
      <selection activeCell="C37" sqref="C37"/>
    </sheetView>
  </sheetViews>
  <sheetFormatPr defaultColWidth="9.140625" defaultRowHeight="12.75"/>
  <cols>
    <col min="1" max="1" width="42.28125" style="0" customWidth="1"/>
    <col min="2" max="2" width="13.7109375" style="250" customWidth="1"/>
    <col min="3" max="4" width="13.7109375" style="450" customWidth="1"/>
    <col min="5" max="5" width="12.8515625" style="789" customWidth="1"/>
    <col min="6" max="6" width="17.421875" style="0" customWidth="1"/>
    <col min="7" max="7" width="15.421875" style="801" customWidth="1"/>
    <col min="8" max="16384" width="11.421875" style="0" customWidth="1"/>
  </cols>
  <sheetData>
    <row r="1" spans="1:7" ht="74.25" customHeight="1" thickBot="1">
      <c r="A1" s="823" t="s">
        <v>410</v>
      </c>
      <c r="B1" s="824" t="s">
        <v>411</v>
      </c>
      <c r="C1" s="824" t="s">
        <v>414</v>
      </c>
      <c r="D1" s="825"/>
      <c r="E1" s="824" t="s">
        <v>416</v>
      </c>
      <c r="F1" s="824" t="s">
        <v>412</v>
      </c>
      <c r="G1" s="826" t="s">
        <v>413</v>
      </c>
    </row>
    <row r="2" spans="1:7" ht="12.75">
      <c r="A2" s="781" t="s">
        <v>240</v>
      </c>
      <c r="B2" s="793">
        <f>(VLOOKUP(A2,'JFSQ p1'!$A$6:$AF$59,31,FALSE))/1000</f>
        <v>16.482</v>
      </c>
      <c r="C2" s="793">
        <f>(VLOOKUP(A2,'JFSQ p3'!$A$6:$AF$61,11,FALSE))/1000</f>
        <v>24.514</v>
      </c>
      <c r="D2" s="800"/>
      <c r="E2" s="793">
        <f ca="1">INDIRECT(CONCATENATE("'",$A2,"'","!AN22"))/1000000</f>
        <v>23.043707</v>
      </c>
      <c r="F2" s="777">
        <f>(VLOOKUP(A2,'Overview User'!$A$4:$H$23,8,FALSE))/1000</f>
        <v>14.442967062830483</v>
      </c>
      <c r="G2" s="815">
        <f>F2/E2</f>
        <v>0.6267640472442425</v>
      </c>
    </row>
    <row r="3" spans="1:7" ht="12.75">
      <c r="A3" s="779" t="s">
        <v>238</v>
      </c>
      <c r="B3" s="794">
        <f>(VLOOKUP(A3,'JFSQ p1'!$A$6:$AF$59,31,FALSE))/1000</f>
        <v>15.601</v>
      </c>
      <c r="C3" s="794">
        <f>(VLOOKUP(A3,'JFSQ p3'!$A$6:$AF$61,11,FALSE))/1000</f>
        <v>13.212</v>
      </c>
      <c r="D3" s="800"/>
      <c r="E3" s="794">
        <f ca="1" t="shared" si="0" ref="E3:E13">INDIRECT(CONCATENATE("'",$A3,"'","!AN22"))/1000000</f>
        <v>15.156</v>
      </c>
      <c r="F3" s="778">
        <f>(VLOOKUP(A3,'Overview User'!$A$4:$H$23,8,FALSE))/1000</f>
        <v>7.939</v>
      </c>
      <c r="G3" s="816">
        <f aca="true" t="shared" si="1" ref="G3:G25">F3/E3</f>
        <v>0.5238189495909211</v>
      </c>
    </row>
    <row r="4" spans="1:7" ht="12.75">
      <c r="A4" s="779" t="s">
        <v>122</v>
      </c>
      <c r="B4" s="794">
        <f>(VLOOKUP(A4,'JFSQ p1'!$A$6:$AF$59,31,FALSE))/1000</f>
        <v>53.79966</v>
      </c>
      <c r="C4" s="794">
        <f>(VLOOKUP(A4,'JFSQ p3'!$A$6:$AF$61,11,FALSE))/1000</f>
        <v>66.38346</v>
      </c>
      <c r="D4" s="800"/>
      <c r="E4" s="794">
        <f ca="1" t="shared" si="0"/>
        <v>63.5786111846435</v>
      </c>
      <c r="F4" s="778">
        <f>(VLOOKUP(A4,'Overview User'!$A$4:$H$23,8,FALSE))/1000</f>
        <v>32.913102645874254</v>
      </c>
      <c r="G4" s="816">
        <f t="shared" si="1"/>
        <v>0.5176757093716439</v>
      </c>
    </row>
    <row r="5" spans="1:7" ht="12.75">
      <c r="A5" s="779" t="s">
        <v>242</v>
      </c>
      <c r="B5" s="794">
        <f>(VLOOKUP(A5,'JFSQ p1'!$A$6:$AF$59,31,FALSE))/1000</f>
        <v>34.95</v>
      </c>
      <c r="C5" s="794">
        <f>(VLOOKUP(A5,'JFSQ p3'!$A$6:$AF$61,11,FALSE))/1000</f>
        <v>32.9891</v>
      </c>
      <c r="D5" s="800"/>
      <c r="E5" s="794">
        <f ca="1" t="shared" si="0"/>
        <v>74.162</v>
      </c>
      <c r="F5" s="778">
        <f>(VLOOKUP(A5,'Overview User'!$A$4:$H$23,8,FALSE))/1000</f>
        <v>41.265119718309855</v>
      </c>
      <c r="G5" s="816">
        <f t="shared" si="1"/>
        <v>0.5564186472628819</v>
      </c>
    </row>
    <row r="6" spans="1:7" ht="12.75">
      <c r="A6" s="779" t="s">
        <v>239</v>
      </c>
      <c r="B6" s="794">
        <f>(VLOOKUP(A6,'JFSQ p1'!$A$6:$AF$59,31,FALSE))/1000</f>
        <v>54.504</v>
      </c>
      <c r="C6" s="794">
        <f>(VLOOKUP(A6,'JFSQ p3'!$A$6:$AF$61,11,FALSE))/1000</f>
        <v>51.747</v>
      </c>
      <c r="D6" s="800"/>
      <c r="E6" s="794">
        <f ca="1" t="shared" si="0"/>
        <v>61.922000000000004</v>
      </c>
      <c r="F6" s="778">
        <f>(VLOOKUP(A6,'Overview User'!$A$4:$H$23,8,FALSE))/1000</f>
        <v>30.270599999999998</v>
      </c>
      <c r="G6" s="816">
        <f t="shared" si="1"/>
        <v>0.48885048932528014</v>
      </c>
    </row>
    <row r="7" spans="1:7" ht="12.75">
      <c r="A7" s="779" t="s">
        <v>280</v>
      </c>
      <c r="B7" s="794">
        <f>(VLOOKUP(A7,'JFSQ p1'!$A$6:$AF$59,31,FALSE))/1000</f>
        <v>6.12</v>
      </c>
      <c r="C7" s="794">
        <f>(VLOOKUP(A7,'JFSQ p3'!$A$6:$AF$61,11,FALSE))/1000</f>
        <v>5.126</v>
      </c>
      <c r="D7" s="800"/>
      <c r="E7" s="794">
        <f ca="1" t="shared" si="0"/>
        <v>5.2262</v>
      </c>
      <c r="F7" s="778">
        <f>(VLOOKUP(A7,'Overview User'!$A$4:$H$23,8,FALSE))/1000</f>
        <v>3.20864</v>
      </c>
      <c r="G7" s="816">
        <f t="shared" si="1"/>
        <v>0.6139527763958517</v>
      </c>
    </row>
    <row r="8" spans="1:7" ht="12.75">
      <c r="A8" s="779" t="s">
        <v>284</v>
      </c>
      <c r="B8" s="794">
        <f>(VLOOKUP(A8,'JFSQ p1'!$A$6:$AF$59,31,FALSE))/1000</f>
        <v>1.026</v>
      </c>
      <c r="C8" s="794">
        <f>(VLOOKUP(A8,'JFSQ p3'!$A$6:$AF$61,11,FALSE))/1000</f>
        <v>0.6988</v>
      </c>
      <c r="D8" s="800"/>
      <c r="E8" s="794">
        <f ca="1" t="shared" si="0"/>
        <v>0.95</v>
      </c>
      <c r="F8" s="778">
        <f>(VLOOKUP(A8,'Overview User'!$A$4:$H$23,8,FALSE))/1000</f>
        <v>1.962</v>
      </c>
      <c r="G8" s="816">
        <f t="shared" si="1"/>
        <v>2.0652631578947367</v>
      </c>
    </row>
    <row r="9" spans="1:7" ht="12.75">
      <c r="A9" s="779" t="s">
        <v>127</v>
      </c>
      <c r="B9" s="794">
        <f>(VLOOKUP(A9,'JFSQ p1'!$A$6:$AF$59,31,FALSE))/1000</f>
        <v>8.78</v>
      </c>
      <c r="C9" s="794">
        <f>(VLOOKUP(A9,'JFSQ p3'!$A$6:$AF$61,11,FALSE))/1000</f>
        <v>11.45847</v>
      </c>
      <c r="D9" s="800"/>
      <c r="E9" s="794">
        <f ca="1" t="shared" si="0"/>
        <v>14.34029</v>
      </c>
      <c r="F9" s="778">
        <f>(VLOOKUP(A9,'Overview User'!$A$4:$H$23,8,FALSE))/1000</f>
        <v>5.7728</v>
      </c>
      <c r="G9" s="816">
        <f t="shared" si="1"/>
        <v>0.40255810726282387</v>
      </c>
    </row>
    <row r="10" spans="1:7" ht="12.75">
      <c r="A10" s="779" t="s">
        <v>281</v>
      </c>
      <c r="B10" s="794">
        <f>(VLOOKUP(A10,'JFSQ p1'!$A$6:$AF$59,31,FALSE))/1000</f>
        <v>2.551</v>
      </c>
      <c r="C10" s="794">
        <f>(VLOOKUP(A10,'JFSQ p3'!$A$6:$AF$61,11,FALSE))/1000</f>
        <v>2.74733</v>
      </c>
      <c r="D10" s="800"/>
      <c r="E10" s="794">
        <f ca="1" t="shared" si="0"/>
        <v>3.536016</v>
      </c>
      <c r="F10" s="778">
        <f>(VLOOKUP(A10,'Overview User'!$A$4:$H$23,8,FALSE))/1000</f>
        <v>2.213601</v>
      </c>
      <c r="G10" s="816">
        <f t="shared" si="1"/>
        <v>0.626015549703395</v>
      </c>
    </row>
    <row r="11" spans="1:7" ht="12.75">
      <c r="A11" s="779" t="s">
        <v>1</v>
      </c>
      <c r="B11" s="794">
        <f>(VLOOKUP(A11,'JFSQ p1'!$A$6:$AF$59,31,FALSE))/1000</f>
        <v>67.3</v>
      </c>
      <c r="C11" s="794">
        <f>(VLOOKUP(A11,'JFSQ p3'!$A$6:$AF$61,11,FALSE))/1000</f>
        <v>75.41259</v>
      </c>
      <c r="D11" s="800"/>
      <c r="E11" s="794">
        <f ca="1" t="shared" si="0"/>
        <v>103.791</v>
      </c>
      <c r="F11" s="778">
        <f>(VLOOKUP(A11,'Overview User'!$A$4:$H$23,8,FALSE))/1000</f>
        <v>39.37709875583204</v>
      </c>
      <c r="G11" s="816">
        <f t="shared" si="1"/>
        <v>0.3793883742890235</v>
      </c>
    </row>
    <row r="12" spans="1:7" ht="12.75">
      <c r="A12" s="779" t="s">
        <v>271</v>
      </c>
      <c r="B12" s="794">
        <f>(VLOOKUP(A12,'JFSQ p1'!$A$6:$AF$59,31,FALSE))/1000</f>
        <v>4.7</v>
      </c>
      <c r="C12" s="794">
        <f>(VLOOKUP(A12,'JFSQ p3'!$A$6:$AF$61,11,FALSE))/1000</f>
        <v>2.89665</v>
      </c>
      <c r="D12" s="800"/>
      <c r="E12" s="794">
        <f ca="1" t="shared" si="0"/>
        <v>4.339627</v>
      </c>
      <c r="F12" s="778">
        <f>(VLOOKUP(A12,'Overview User'!$A$4:$H$23,8,FALSE))/1000</f>
        <v>3.7848040000000003</v>
      </c>
      <c r="G12" s="816">
        <f t="shared" si="1"/>
        <v>0.8721496110149559</v>
      </c>
    </row>
    <row r="13" spans="1:7" ht="13.5" thickBot="1">
      <c r="A13" s="827" t="s">
        <v>199</v>
      </c>
      <c r="B13" s="795">
        <f>(VLOOKUP(A13,'JFSQ p1'!$A$6:$AF$59,31,FALSE))/1000</f>
        <v>8.273</v>
      </c>
      <c r="C13" s="795">
        <f>(VLOOKUP(A13,'JFSQ p3'!$A$6:$AF$61,11,FALSE))/1000</f>
        <v>8.42566</v>
      </c>
      <c r="D13" s="800"/>
      <c r="E13" s="795">
        <f ca="1" t="shared" si="0"/>
        <v>8.338</v>
      </c>
      <c r="F13" s="782">
        <f>(VLOOKUP(A13,'Overview User'!$A$4:$H$23,8,FALSE))/1000</f>
        <v>1.5620999999999998</v>
      </c>
      <c r="G13" s="817">
        <f t="shared" si="1"/>
        <v>0.18734708563204605</v>
      </c>
    </row>
    <row r="14" spans="1:7" ht="13.5" thickBot="1">
      <c r="A14" s="814"/>
      <c r="B14" s="811"/>
      <c r="C14" s="811"/>
      <c r="D14" s="790"/>
      <c r="E14" s="822"/>
      <c r="F14" s="822"/>
      <c r="G14" s="803"/>
    </row>
    <row r="15" spans="1:7" ht="13.5" thickBot="1">
      <c r="A15" s="783" t="s">
        <v>323</v>
      </c>
      <c r="B15" s="796">
        <f>(VLOOKUP(A15,'JFSQ p1'!$A$6:$AF$59,31,FALSE))/1000</f>
        <v>439.72384000000005</v>
      </c>
      <c r="C15" s="796">
        <f>(VLOOKUP(A15,'JFSQ p3'!$A$6:$AF$61,11,FALSE))/1000</f>
        <v>466.55422999999996</v>
      </c>
      <c r="D15" s="806"/>
      <c r="E15" s="820"/>
      <c r="F15" s="820"/>
      <c r="G15" s="821"/>
    </row>
    <row r="16" spans="1:7" ht="13.5" thickBot="1">
      <c r="A16" s="784" t="s">
        <v>415</v>
      </c>
      <c r="B16" s="796">
        <f>SUM(B2:B13)</f>
        <v>274.08666</v>
      </c>
      <c r="C16" s="796">
        <f>SUM(C2:C13)</f>
        <v>295.61106</v>
      </c>
      <c r="D16" s="250"/>
      <c r="E16" s="796">
        <f>SUM(E2:E13)</f>
        <v>378.38345118464355</v>
      </c>
      <c r="F16" s="810">
        <f>SUM(F2:F13)</f>
        <v>184.71183318284662</v>
      </c>
      <c r="G16" s="798">
        <f t="shared" si="1"/>
        <v>0.4881604430758018</v>
      </c>
    </row>
    <row r="17" spans="1:7" ht="13.5" thickBot="1">
      <c r="A17" s="784" t="s">
        <v>417</v>
      </c>
      <c r="B17" s="798">
        <f>(SUM(B2:B13))/B15</f>
        <v>0.6233154427105885</v>
      </c>
      <c r="C17" s="798">
        <f>(SUM(C2:C13))/C15</f>
        <v>0.6336049294848318</v>
      </c>
      <c r="D17" s="806"/>
      <c r="E17" s="250"/>
      <c r="F17" s="250"/>
      <c r="G17" s="803"/>
    </row>
    <row r="18" spans="1:7" ht="13.5" thickBot="1">
      <c r="A18" s="784"/>
      <c r="B18" s="805"/>
      <c r="C18" s="805"/>
      <c r="D18" s="790"/>
      <c r="E18" s="250"/>
      <c r="F18" s="250"/>
      <c r="G18" s="804"/>
    </row>
    <row r="19" spans="1:7" ht="13.5" thickBot="1">
      <c r="A19" s="783" t="s">
        <v>322</v>
      </c>
      <c r="B19" s="796">
        <f>(VLOOKUP(A19,'JFSQ p1'!$A$6:$AF$59,31,FALSE))/1000</f>
        <v>376.60059</v>
      </c>
      <c r="C19" s="796">
        <f>(VLOOKUP(A19,'JFSQ p3'!$A$6:$AF$61,11,FALSE))/1000</f>
        <v>401.14741</v>
      </c>
      <c r="D19" s="790"/>
      <c r="E19" s="250"/>
      <c r="F19" s="250"/>
      <c r="G19" s="804"/>
    </row>
    <row r="20" spans="1:7" ht="13.5" thickBot="1">
      <c r="A20" s="784" t="s">
        <v>418</v>
      </c>
      <c r="B20" s="796">
        <f>B16-B12-B9</f>
        <v>260.60666000000003</v>
      </c>
      <c r="C20" s="796">
        <f>C16-C12-C9</f>
        <v>281.25594</v>
      </c>
      <c r="D20" s="819"/>
      <c r="E20" s="796">
        <f>E16-E12-E9</f>
        <v>359.70353418464356</v>
      </c>
      <c r="F20" s="796">
        <f>F16-F12-F9</f>
        <v>175.15422918284662</v>
      </c>
      <c r="G20" s="797">
        <f>F20/E20</f>
        <v>0.4869405288993802</v>
      </c>
    </row>
    <row r="21" spans="1:7" ht="13.5" thickBot="1">
      <c r="A21" s="784" t="s">
        <v>417</v>
      </c>
      <c r="B21" s="798">
        <f>B20/B19</f>
        <v>0.6919974820007585</v>
      </c>
      <c r="C21" s="798">
        <f>C20/C19</f>
        <v>0.7011286449537342</v>
      </c>
      <c r="D21" s="791"/>
      <c r="E21" s="804"/>
      <c r="F21" s="804"/>
      <c r="G21" s="804"/>
    </row>
    <row r="22" spans="1:7" ht="13.5" thickBot="1">
      <c r="A22" s="812"/>
      <c r="B22" s="813"/>
      <c r="C22" s="813"/>
      <c r="D22" s="791"/>
      <c r="E22" s="804"/>
      <c r="F22" s="804"/>
      <c r="G22" s="804"/>
    </row>
    <row r="23" spans="1:7" ht="12.75">
      <c r="A23" s="781" t="s">
        <v>256</v>
      </c>
      <c r="B23" s="793">
        <f>(VLOOKUP(A23,'JFSQ p1'!$A$6:$AF$59,31,FALSE))/1000</f>
        <v>199.568</v>
      </c>
      <c r="C23" s="793">
        <f>(VLOOKUP(A23,'JFSQ p3'!$A$6:$AF$61,11,FALSE))/1000</f>
        <v>201.33093</v>
      </c>
      <c r="D23" s="790"/>
      <c r="E23" s="793">
        <f ca="1">INDIRECT(CONCATENATE("'",$A23,"'","!AN22"))/1000000</f>
        <v>204.41</v>
      </c>
      <c r="F23" s="777">
        <f>(VLOOKUP(A23,'Overview User'!$A$4:$H$23,8,FALSE))/1000</f>
        <v>47.80961622395023</v>
      </c>
      <c r="G23" s="815">
        <f t="shared" si="1"/>
        <v>0.23389078921750517</v>
      </c>
    </row>
    <row r="24" spans="1:7" ht="12.75">
      <c r="A24" s="779" t="s">
        <v>379</v>
      </c>
      <c r="B24" s="794">
        <f>(VLOOKUP(A24,'JFSQ p1'!$A$6:$AF$59,31,FALSE))/1000</f>
        <v>458.31018</v>
      </c>
      <c r="C24" s="794">
        <f>(VLOOKUP(A24,'JFSQ p3'!$A$6:$AF$61,11,FALSE))/1000</f>
        <v>450.29525</v>
      </c>
      <c r="D24" s="800"/>
      <c r="E24" s="794">
        <f ca="1">INDIRECT(CONCATENATE("USA","!AN22"))/1000000</f>
        <v>492.89296567635</v>
      </c>
      <c r="F24" s="778">
        <f>(VLOOKUP("USA",'Overview User'!$A$4:$H$23,8,FALSE))/1000</f>
        <v>212.47497318043605</v>
      </c>
      <c r="G24" s="816">
        <f t="shared" si="1"/>
        <v>0.43107730882074347</v>
      </c>
    </row>
    <row r="25" spans="1:7" ht="13.5" thickBot="1">
      <c r="A25" s="780" t="s">
        <v>335</v>
      </c>
      <c r="B25" s="799">
        <f>(VLOOKUP(A25,'JFSQ p1'!$A$6:$AF$59,31,FALSE))/1000</f>
        <v>657.87818</v>
      </c>
      <c r="C25" s="799">
        <f>(VLOOKUP(A25,'JFSQ p3'!$A$6:$AF$61,11,FALSE))/1000</f>
        <v>651.6261800000001</v>
      </c>
      <c r="D25" s="806"/>
      <c r="E25" s="799">
        <f>SUM(E23:E24)</f>
        <v>697.30296567635</v>
      </c>
      <c r="F25" s="809">
        <f>SUM(F23:F24)</f>
        <v>260.2845894043863</v>
      </c>
      <c r="G25" s="818">
        <f t="shared" si="1"/>
        <v>0.3732733147806461</v>
      </c>
    </row>
    <row r="26" spans="1:7" ht="13.5" thickBot="1">
      <c r="A26" s="783" t="s">
        <v>408</v>
      </c>
      <c r="B26" s="797">
        <f>1</f>
        <v>1</v>
      </c>
      <c r="C26" s="797">
        <f>1</f>
        <v>1</v>
      </c>
      <c r="D26" s="806"/>
      <c r="E26" s="803"/>
      <c r="F26" s="803"/>
      <c r="G26" s="803"/>
    </row>
    <row r="27" spans="1:6" ht="13.5" thickBot="1">
      <c r="A27" s="785"/>
      <c r="B27" s="786"/>
      <c r="C27" s="786"/>
      <c r="D27" s="802"/>
      <c r="E27" s="790"/>
      <c r="F27" s="790"/>
    </row>
    <row r="28" spans="1:7" ht="13.5" thickBot="1">
      <c r="A28" s="783" t="s">
        <v>406</v>
      </c>
      <c r="B28" s="796">
        <f>(VLOOKUP(A28,'JFSQ p1'!$A$6:$AF$60,31,FALSE))/1000</f>
        <v>1302.50312</v>
      </c>
      <c r="C28" s="796">
        <f>(VLOOKUP(A28,'JFSQ p3'!$A$6:$AF$64,11,FALSE))/1000</f>
        <v>1278.39211</v>
      </c>
      <c r="D28" s="790"/>
      <c r="E28" s="790"/>
      <c r="F28" s="790"/>
      <c r="G28" s="804"/>
    </row>
    <row r="29" spans="1:6" ht="13.5" thickBot="1">
      <c r="A29" s="783" t="s">
        <v>407</v>
      </c>
      <c r="B29" s="797">
        <f>(B25+B16)/B28</f>
        <v>0.7155183167622662</v>
      </c>
      <c r="C29" s="797">
        <f>(C25+C16)/C28</f>
        <v>0.7409598608990164</v>
      </c>
      <c r="D29" s="807"/>
      <c r="E29" s="792"/>
      <c r="F29" s="792"/>
    </row>
    <row r="30" spans="3:4" ht="12.75">
      <c r="C30" s="808"/>
      <c r="D30" s="791"/>
    </row>
    <row r="31" spans="2:3" ht="13.5" thickBot="1">
      <c r="B31" s="801"/>
      <c r="C31" s="801"/>
    </row>
    <row r="32" spans="4:7" ht="54.75" customHeight="1" thickBot="1">
      <c r="D32" s="896" t="s">
        <v>423</v>
      </c>
      <c r="E32" s="894" t="s">
        <v>427</v>
      </c>
      <c r="F32" s="894" t="s">
        <v>424</v>
      </c>
      <c r="G32" s="895" t="s">
        <v>425</v>
      </c>
    </row>
    <row r="33" spans="2:7" s="703" customFormat="1" ht="16.5" customHeight="1">
      <c r="B33" s="702"/>
      <c r="C33" s="938"/>
      <c r="D33" s="939" t="s">
        <v>323</v>
      </c>
      <c r="E33" s="940">
        <f>E16</f>
        <v>378.38345118464355</v>
      </c>
      <c r="F33" s="941">
        <f>F16</f>
        <v>184.71183318284662</v>
      </c>
      <c r="G33" s="942">
        <f>F33/E33</f>
        <v>0.4881604430758018</v>
      </c>
    </row>
    <row r="34" spans="2:7" s="703" customFormat="1" ht="16.5" customHeight="1" thickBot="1">
      <c r="B34" s="702"/>
      <c r="C34" s="938"/>
      <c r="D34" s="943" t="s">
        <v>335</v>
      </c>
      <c r="E34" s="944">
        <f>E25</f>
        <v>697.30296567635</v>
      </c>
      <c r="F34" s="945">
        <f>F25</f>
        <v>260.2845894043863</v>
      </c>
      <c r="G34" s="946">
        <f>F34/E34</f>
        <v>0.3732733147806461</v>
      </c>
    </row>
    <row r="35" spans="2:7" s="703" customFormat="1" ht="16.5" customHeight="1" thickBot="1" thickTop="1">
      <c r="B35" s="702"/>
      <c r="C35" s="938"/>
      <c r="D35" s="947" t="s">
        <v>422</v>
      </c>
      <c r="E35" s="948">
        <f>SUM(E33:E34)</f>
        <v>1075.6864168609936</v>
      </c>
      <c r="F35" s="949">
        <f>SUM(F33:F34)</f>
        <v>444.9964225872329</v>
      </c>
      <c r="G35" s="950">
        <f>F35/E35</f>
        <v>0.4136860107295916</v>
      </c>
    </row>
    <row r="38" spans="5:7" ht="12.75">
      <c r="E38" s="1068"/>
      <c r="F38" s="379"/>
      <c r="G38" s="804"/>
    </row>
    <row r="39" spans="5:7" ht="13.5" thickBot="1">
      <c r="E39" s="1068"/>
      <c r="F39" s="379"/>
      <c r="G39" s="804"/>
    </row>
    <row r="40" spans="1:7" ht="13.5" thickBot="1">
      <c r="A40" s="1071" t="s">
        <v>410</v>
      </c>
      <c r="B40" s="1069"/>
      <c r="C40" s="1069"/>
      <c r="D40" s="1069"/>
      <c r="E40" s="1069"/>
      <c r="F40" s="1069"/>
      <c r="G40" s="1070"/>
    </row>
    <row r="41" spans="1:7" ht="12.75">
      <c r="A41" s="1072" t="s">
        <v>240</v>
      </c>
      <c r="B41" s="790"/>
      <c r="C41" s="790"/>
      <c r="D41" s="790"/>
      <c r="E41" s="790"/>
      <c r="F41" s="790"/>
      <c r="G41" s="1067"/>
    </row>
    <row r="42" spans="1:7" ht="12.75">
      <c r="A42" s="1073" t="s">
        <v>256</v>
      </c>
      <c r="B42" s="790"/>
      <c r="C42" s="790"/>
      <c r="D42" s="790"/>
      <c r="E42" s="790"/>
      <c r="F42" s="790"/>
      <c r="G42" s="1067"/>
    </row>
    <row r="43" spans="1:7" ht="13.5" thickBot="1">
      <c r="A43" s="1073" t="s">
        <v>238</v>
      </c>
      <c r="B43" s="790"/>
      <c r="C43" s="790"/>
      <c r="D43" s="790"/>
      <c r="E43" s="790"/>
      <c r="F43" s="790"/>
      <c r="G43" s="1067"/>
    </row>
    <row r="44" spans="1:7" ht="12.75">
      <c r="A44" s="1072" t="s">
        <v>122</v>
      </c>
      <c r="B44" s="790"/>
      <c r="C44" s="790"/>
      <c r="D44" s="790"/>
      <c r="E44" s="790"/>
      <c r="F44" s="790"/>
      <c r="G44" s="1067"/>
    </row>
    <row r="45" spans="1:7" ht="12.75">
      <c r="A45" s="1073" t="s">
        <v>242</v>
      </c>
      <c r="B45" s="790"/>
      <c r="C45" s="790"/>
      <c r="D45" s="790"/>
      <c r="E45" s="790"/>
      <c r="F45" s="790"/>
      <c r="G45" s="1067"/>
    </row>
    <row r="46" spans="1:7" ht="12.75">
      <c r="A46" s="1073" t="s">
        <v>239</v>
      </c>
      <c r="B46" s="790"/>
      <c r="C46" s="790"/>
      <c r="D46" s="790"/>
      <c r="E46" s="790"/>
      <c r="F46" s="790"/>
      <c r="G46" s="1067"/>
    </row>
    <row r="47" spans="1:7" ht="12.75">
      <c r="A47" s="1073" t="s">
        <v>280</v>
      </c>
      <c r="B47" s="790"/>
      <c r="C47" s="790"/>
      <c r="D47" s="790"/>
      <c r="E47" s="790"/>
      <c r="F47" s="790"/>
      <c r="G47" s="1067"/>
    </row>
    <row r="48" spans="1:7" ht="12.75">
      <c r="A48" s="1073" t="s">
        <v>284</v>
      </c>
      <c r="B48" s="790"/>
      <c r="C48" s="790"/>
      <c r="D48" s="790"/>
      <c r="E48" s="790"/>
      <c r="F48" s="790"/>
      <c r="G48" s="1067"/>
    </row>
    <row r="49" spans="1:7" ht="12.75">
      <c r="A49" s="1073" t="s">
        <v>127</v>
      </c>
      <c r="B49" s="790"/>
      <c r="C49" s="790"/>
      <c r="D49" s="790"/>
      <c r="E49" s="790"/>
      <c r="F49" s="790"/>
      <c r="G49" s="1067"/>
    </row>
    <row r="50" spans="1:7" ht="12.75">
      <c r="A50" s="1073" t="s">
        <v>281</v>
      </c>
      <c r="B50" s="790"/>
      <c r="C50" s="790"/>
      <c r="D50" s="790"/>
      <c r="E50" s="790"/>
      <c r="F50" s="790"/>
      <c r="G50" s="1067"/>
    </row>
    <row r="51" spans="1:7" ht="12.75">
      <c r="A51" s="1073" t="s">
        <v>1</v>
      </c>
      <c r="B51" s="790"/>
      <c r="C51" s="790"/>
      <c r="D51" s="790"/>
      <c r="E51" s="790"/>
      <c r="F51" s="790"/>
      <c r="G51" s="1067"/>
    </row>
    <row r="52" spans="1:7" ht="12.75">
      <c r="A52" s="1073" t="s">
        <v>271</v>
      </c>
      <c r="B52" s="790"/>
      <c r="C52" s="790"/>
      <c r="D52" s="790"/>
      <c r="E52" s="790"/>
      <c r="F52" s="790"/>
      <c r="G52" s="1067"/>
    </row>
    <row r="53" spans="1:7" ht="12.75">
      <c r="A53" s="1073" t="s">
        <v>199</v>
      </c>
      <c r="B53" s="790"/>
      <c r="C53" s="790"/>
      <c r="D53" s="790"/>
      <c r="E53" s="790"/>
      <c r="F53" s="790"/>
      <c r="G53" s="1067"/>
    </row>
    <row r="54" spans="1:7" ht="13.5" thickBot="1">
      <c r="A54" s="1074" t="s">
        <v>379</v>
      </c>
      <c r="B54" s="790"/>
      <c r="C54" s="790"/>
      <c r="D54" s="790"/>
      <c r="E54" s="790"/>
      <c r="F54" s="790"/>
      <c r="G54" s="1067"/>
    </row>
    <row r="55" spans="1:7" ht="13.5" thickBot="1">
      <c r="A55" s="1066"/>
      <c r="B55" s="820"/>
      <c r="C55" s="820"/>
      <c r="D55" s="790"/>
      <c r="E55" s="790"/>
      <c r="F55" s="790"/>
      <c r="G55" s="1067"/>
    </row>
    <row r="56" spans="1:7" ht="13.5" thickBot="1">
      <c r="A56" s="1066" t="s">
        <v>439</v>
      </c>
      <c r="B56" s="820"/>
      <c r="C56" s="820"/>
      <c r="D56" s="790"/>
      <c r="E56" s="790"/>
      <c r="F56" s="790"/>
      <c r="G56" s="1067"/>
    </row>
    <row r="57" spans="1:7" ht="13.5" thickBot="1">
      <c r="A57" s="784" t="s">
        <v>417</v>
      </c>
      <c r="B57" s="798">
        <v>0.6233154427105885</v>
      </c>
      <c r="C57" s="798">
        <v>0.6336049294848318</v>
      </c>
      <c r="D57" s="806"/>
      <c r="E57" s="450"/>
      <c r="F57" s="450"/>
      <c r="G57" s="804"/>
    </row>
    <row r="58" spans="1:7" ht="13.5" thickBot="1">
      <c r="A58" s="784" t="s">
        <v>418</v>
      </c>
      <c r="B58" s="798">
        <v>0.6919974820007585</v>
      </c>
      <c r="C58" s="798">
        <v>0.7011286449537342</v>
      </c>
      <c r="D58" s="791"/>
      <c r="E58" s="804"/>
      <c r="F58" s="804"/>
      <c r="G58" s="804"/>
    </row>
    <row r="59" spans="1:7" ht="13.5" thickBot="1">
      <c r="A59" s="783" t="s">
        <v>408</v>
      </c>
      <c r="B59" s="797">
        <v>1</v>
      </c>
      <c r="C59" s="797">
        <v>1</v>
      </c>
      <c r="D59" s="806"/>
      <c r="E59" s="804"/>
      <c r="F59" s="804"/>
      <c r="G59" s="804"/>
    </row>
    <row r="60" spans="3:4" ht="13.5" thickBot="1">
      <c r="C60" s="808"/>
      <c r="D60" s="791"/>
    </row>
    <row r="61" spans="1:6" ht="13.5" thickBot="1">
      <c r="A61" s="783" t="s">
        <v>407</v>
      </c>
      <c r="B61" s="797">
        <v>0.7155183167622662</v>
      </c>
      <c r="C61" s="797">
        <v>0.7409598608990164</v>
      </c>
      <c r="D61" s="807"/>
      <c r="E61" s="792"/>
      <c r="F61" s="792"/>
    </row>
    <row r="62" spans="2:3" ht="13.5" thickBot="1">
      <c r="B62" s="801"/>
      <c r="C62" s="801"/>
    </row>
    <row r="63" spans="4:7" ht="64.5" thickBot="1">
      <c r="D63" s="896" t="s">
        <v>423</v>
      </c>
      <c r="E63" s="894" t="s">
        <v>427</v>
      </c>
      <c r="F63" s="894" t="s">
        <v>424</v>
      </c>
      <c r="G63" s="895" t="s">
        <v>425</v>
      </c>
    </row>
    <row r="64" spans="1:10" ht="12.75">
      <c r="A64" s="703"/>
      <c r="B64" s="702"/>
      <c r="C64" s="938"/>
      <c r="D64" s="939" t="s">
        <v>323</v>
      </c>
      <c r="E64" s="940" t="e">
        <f>#REF!</f>
        <v>#REF!</v>
      </c>
      <c r="F64" s="941" t="e">
        <f>#REF!</f>
        <v>#REF!</v>
      </c>
      <c r="G64" s="942" t="e">
        <f>F64/E64</f>
        <v>#REF!</v>
      </c>
      <c r="H64" s="703"/>
      <c r="I64" s="703"/>
      <c r="J64" s="703"/>
    </row>
    <row r="65" spans="1:10" ht="13.5" thickBot="1">
      <c r="A65" s="703"/>
      <c r="B65" s="702"/>
      <c r="C65" s="938"/>
      <c r="D65" s="943" t="s">
        <v>335</v>
      </c>
      <c r="E65" s="944" t="e">
        <f>#REF!</f>
        <v>#REF!</v>
      </c>
      <c r="F65" s="945" t="e">
        <f>#REF!</f>
        <v>#REF!</v>
      </c>
      <c r="G65" s="946" t="e">
        <f>F65/E65</f>
        <v>#REF!</v>
      </c>
      <c r="H65" s="703"/>
      <c r="I65" s="703"/>
      <c r="J65" s="703"/>
    </row>
    <row r="66" spans="1:10" ht="14.25" thickBot="1" thickTop="1">
      <c r="A66" s="703"/>
      <c r="B66" s="702"/>
      <c r="C66" s="938"/>
      <c r="D66" s="947" t="s">
        <v>422</v>
      </c>
      <c r="E66" s="948" t="e">
        <f>SUM(E64:E65)</f>
        <v>#REF!</v>
      </c>
      <c r="F66" s="949" t="e">
        <f>SUM(F64:F65)</f>
        <v>#REF!</v>
      </c>
      <c r="G66" s="950" t="e">
        <f>F66/E66</f>
        <v>#REF!</v>
      </c>
      <c r="H66" s="703"/>
      <c r="I66" s="703"/>
      <c r="J66" s="703"/>
    </row>
  </sheetData>
  <printOptions/>
  <pageMargins left="0.75" right="0.75" top="1" bottom="1" header="0.4921259845" footer="0.4921259845"/>
  <pageSetup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tabColor indexed="12"/>
  </sheetPr>
  <dimension ref="A1:AF63"/>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6.421875" style="0" customWidth="1"/>
  </cols>
  <sheetData>
    <row r="1" spans="1:32" ht="18">
      <c r="A1" s="456" t="s">
        <v>399</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106</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400</v>
      </c>
      <c r="D3" s="462"/>
      <c r="E3" s="463"/>
      <c r="F3" s="463"/>
      <c r="G3" s="463"/>
      <c r="H3" s="463"/>
      <c r="I3" s="463"/>
      <c r="J3" s="463"/>
      <c r="K3" s="464"/>
      <c r="L3" s="463"/>
      <c r="M3" s="465" t="s">
        <v>401</v>
      </c>
      <c r="N3" s="463"/>
      <c r="O3" s="463"/>
      <c r="P3" s="463"/>
      <c r="Q3" s="463"/>
      <c r="R3" s="463"/>
      <c r="S3" s="463"/>
      <c r="T3" s="463"/>
      <c r="U3" s="464"/>
      <c r="V3" s="463"/>
      <c r="W3" s="465" t="s">
        <v>47</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375</v>
      </c>
      <c r="D5" s="477"/>
      <c r="E5" s="477"/>
      <c r="F5" s="477"/>
      <c r="G5" s="477"/>
      <c r="H5" s="477"/>
      <c r="I5" s="477"/>
      <c r="J5" s="477"/>
      <c r="K5" s="478"/>
      <c r="L5" s="466"/>
      <c r="M5" s="479" t="s">
        <v>375</v>
      </c>
      <c r="N5" s="480"/>
      <c r="O5" s="477"/>
      <c r="P5" s="477"/>
      <c r="Q5" s="477"/>
      <c r="R5" s="477"/>
      <c r="S5" s="477"/>
      <c r="T5" s="477"/>
      <c r="U5" s="478"/>
      <c r="V5" s="466"/>
      <c r="W5" s="479" t="s">
        <v>375</v>
      </c>
      <c r="X5" s="480"/>
      <c r="Y5" s="477"/>
      <c r="Z5" s="477"/>
      <c r="AA5" s="477"/>
      <c r="AB5" s="477"/>
      <c r="AC5" s="477"/>
      <c r="AD5" s="477"/>
      <c r="AE5" s="478"/>
      <c r="AF5" s="481"/>
    </row>
    <row r="6" spans="1:32" ht="15.75" thickTop="1">
      <c r="A6" s="482" t="s">
        <v>308</v>
      </c>
      <c r="B6" s="483"/>
      <c r="C6" s="484">
        <v>92</v>
      </c>
      <c r="D6" s="485" t="s">
        <v>309</v>
      </c>
      <c r="E6" s="484">
        <v>36.3</v>
      </c>
      <c r="F6" s="485" t="s">
        <v>309</v>
      </c>
      <c r="G6" s="484">
        <v>38.3</v>
      </c>
      <c r="H6" s="486" t="s">
        <v>309</v>
      </c>
      <c r="I6" s="487">
        <v>27.3</v>
      </c>
      <c r="J6" s="488" t="s">
        <v>309</v>
      </c>
      <c r="K6" s="489">
        <v>27.3</v>
      </c>
      <c r="L6" s="484" t="s">
        <v>309</v>
      </c>
      <c r="M6" s="490">
        <v>355</v>
      </c>
      <c r="N6" s="491" t="s">
        <v>309</v>
      </c>
      <c r="O6" s="484">
        <v>228.3</v>
      </c>
      <c r="P6" s="485" t="s">
        <v>309</v>
      </c>
      <c r="Q6" s="484">
        <v>266.5</v>
      </c>
      <c r="R6" s="485" t="s">
        <v>309</v>
      </c>
      <c r="S6" s="486">
        <v>268.9</v>
      </c>
      <c r="T6" s="486" t="s">
        <v>309</v>
      </c>
      <c r="U6" s="487">
        <v>268.9</v>
      </c>
      <c r="V6" s="484" t="s">
        <v>309</v>
      </c>
      <c r="W6" s="490">
        <v>447</v>
      </c>
      <c r="X6" s="491" t="s">
        <v>309</v>
      </c>
      <c r="Y6" s="484">
        <v>264.6</v>
      </c>
      <c r="Z6" s="485" t="s">
        <v>309</v>
      </c>
      <c r="AA6" s="484">
        <v>304.8</v>
      </c>
      <c r="AB6" s="486" t="s">
        <v>309</v>
      </c>
      <c r="AC6" s="487">
        <v>296.2</v>
      </c>
      <c r="AD6" s="488" t="s">
        <v>309</v>
      </c>
      <c r="AE6" s="489">
        <v>296.2</v>
      </c>
      <c r="AF6" s="492" t="s">
        <v>309</v>
      </c>
    </row>
    <row r="7" spans="1:32" ht="15">
      <c r="A7" s="482" t="s">
        <v>240</v>
      </c>
      <c r="B7" s="483"/>
      <c r="C7" s="484">
        <v>11230</v>
      </c>
      <c r="D7" s="491" t="s">
        <v>309</v>
      </c>
      <c r="E7" s="484">
        <v>11336</v>
      </c>
      <c r="F7" s="491" t="s">
        <v>309</v>
      </c>
      <c r="G7" s="484">
        <v>12670</v>
      </c>
      <c r="H7" s="484" t="s">
        <v>309</v>
      </c>
      <c r="I7" s="493">
        <v>14734</v>
      </c>
      <c r="J7" s="488" t="s">
        <v>309</v>
      </c>
      <c r="K7" s="494">
        <v>14070</v>
      </c>
      <c r="L7" s="484" t="s">
        <v>309</v>
      </c>
      <c r="M7" s="495">
        <v>2046</v>
      </c>
      <c r="N7" s="491" t="s">
        <v>309</v>
      </c>
      <c r="O7" s="484">
        <v>2131</v>
      </c>
      <c r="P7" s="491" t="s">
        <v>309</v>
      </c>
      <c r="Q7" s="484">
        <v>2176</v>
      </c>
      <c r="R7" s="491" t="s">
        <v>309</v>
      </c>
      <c r="S7" s="484">
        <v>2321</v>
      </c>
      <c r="T7" s="484" t="s">
        <v>309</v>
      </c>
      <c r="U7" s="493">
        <v>2412</v>
      </c>
      <c r="V7" s="484" t="s">
        <v>309</v>
      </c>
      <c r="W7" s="495">
        <v>13276</v>
      </c>
      <c r="X7" s="491" t="s">
        <v>309</v>
      </c>
      <c r="Y7" s="484">
        <v>13467</v>
      </c>
      <c r="Z7" s="491" t="s">
        <v>309</v>
      </c>
      <c r="AA7" s="484">
        <v>14846</v>
      </c>
      <c r="AB7" s="484" t="s">
        <v>309</v>
      </c>
      <c r="AC7" s="493">
        <v>17055</v>
      </c>
      <c r="AD7" s="488" t="s">
        <v>309</v>
      </c>
      <c r="AE7" s="494">
        <v>16482</v>
      </c>
      <c r="AF7" s="492" t="s">
        <v>309</v>
      </c>
    </row>
    <row r="8" spans="1:32" ht="15">
      <c r="A8" s="482" t="s">
        <v>311</v>
      </c>
      <c r="B8" s="483"/>
      <c r="C8" s="484">
        <v>2830</v>
      </c>
      <c r="D8" s="491" t="s">
        <v>309</v>
      </c>
      <c r="E8" s="484">
        <v>2795</v>
      </c>
      <c r="F8" s="491" t="s">
        <v>309</v>
      </c>
      <c r="G8" s="484">
        <v>3000</v>
      </c>
      <c r="H8" s="484" t="s">
        <v>309</v>
      </c>
      <c r="I8" s="493">
        <v>3225</v>
      </c>
      <c r="J8" s="488" t="s">
        <v>309</v>
      </c>
      <c r="K8" s="494">
        <v>3225</v>
      </c>
      <c r="L8" s="484" t="s">
        <v>309</v>
      </c>
      <c r="M8" s="495">
        <v>1680</v>
      </c>
      <c r="N8" s="491" t="s">
        <v>309</v>
      </c>
      <c r="O8" s="484">
        <v>1420</v>
      </c>
      <c r="P8" s="491" t="s">
        <v>309</v>
      </c>
      <c r="Q8" s="484">
        <v>1500</v>
      </c>
      <c r="R8" s="491" t="s">
        <v>309</v>
      </c>
      <c r="S8" s="484">
        <v>1540</v>
      </c>
      <c r="T8" s="484" t="s">
        <v>309</v>
      </c>
      <c r="U8" s="493">
        <v>1540</v>
      </c>
      <c r="V8" s="484" t="s">
        <v>309</v>
      </c>
      <c r="W8" s="495">
        <v>4510</v>
      </c>
      <c r="X8" s="491" t="s">
        <v>309</v>
      </c>
      <c r="Y8" s="484">
        <v>4215</v>
      </c>
      <c r="Z8" s="491" t="s">
        <v>309</v>
      </c>
      <c r="AA8" s="484">
        <v>4500</v>
      </c>
      <c r="AB8" s="484" t="s">
        <v>309</v>
      </c>
      <c r="AC8" s="493">
        <v>4765</v>
      </c>
      <c r="AD8" s="488" t="s">
        <v>309</v>
      </c>
      <c r="AE8" s="494">
        <v>4765</v>
      </c>
      <c r="AF8" s="492" t="s">
        <v>309</v>
      </c>
    </row>
    <row r="9" spans="1:32" ht="15">
      <c r="A9" s="482" t="s">
        <v>312</v>
      </c>
      <c r="B9" s="483"/>
      <c r="C9" s="484">
        <v>2204</v>
      </c>
      <c r="D9" s="491" t="s">
        <v>309</v>
      </c>
      <c r="E9" s="484">
        <v>2065</v>
      </c>
      <c r="F9" s="491" t="s">
        <v>309</v>
      </c>
      <c r="G9" s="484">
        <v>2108</v>
      </c>
      <c r="H9" s="484" t="s">
        <v>309</v>
      </c>
      <c r="I9" s="493">
        <v>1931</v>
      </c>
      <c r="J9" s="488" t="s">
        <v>309</v>
      </c>
      <c r="K9" s="494">
        <v>1821</v>
      </c>
      <c r="L9" s="484" t="s">
        <v>309</v>
      </c>
      <c r="M9" s="495">
        <v>2078</v>
      </c>
      <c r="N9" s="491" t="s">
        <v>309</v>
      </c>
      <c r="O9" s="484">
        <v>1753</v>
      </c>
      <c r="P9" s="491" t="s">
        <v>309</v>
      </c>
      <c r="Q9" s="484">
        <v>2116</v>
      </c>
      <c r="R9" s="491" t="s">
        <v>309</v>
      </c>
      <c r="S9" s="484">
        <v>2164</v>
      </c>
      <c r="T9" s="484" t="s">
        <v>309</v>
      </c>
      <c r="U9" s="493">
        <v>2172</v>
      </c>
      <c r="V9" s="484" t="s">
        <v>309</v>
      </c>
      <c r="W9" s="495">
        <v>4282</v>
      </c>
      <c r="X9" s="491" t="s">
        <v>309</v>
      </c>
      <c r="Y9" s="484">
        <v>3818</v>
      </c>
      <c r="Z9" s="491" t="s">
        <v>309</v>
      </c>
      <c r="AA9" s="484">
        <v>4224</v>
      </c>
      <c r="AB9" s="484" t="s">
        <v>309</v>
      </c>
      <c r="AC9" s="493">
        <v>4095</v>
      </c>
      <c r="AD9" s="488" t="s">
        <v>309</v>
      </c>
      <c r="AE9" s="494">
        <v>3993</v>
      </c>
      <c r="AF9" s="492" t="s">
        <v>309</v>
      </c>
    </row>
    <row r="10" spans="1:32" ht="15">
      <c r="A10" s="482" t="s">
        <v>298</v>
      </c>
      <c r="B10" s="483"/>
      <c r="C10" s="484">
        <v>1607.5</v>
      </c>
      <c r="D10" s="491" t="s">
        <v>309</v>
      </c>
      <c r="E10" s="484">
        <v>1407.5</v>
      </c>
      <c r="F10" s="491" t="s">
        <v>309</v>
      </c>
      <c r="G10" s="484">
        <v>1605.5</v>
      </c>
      <c r="H10" s="484" t="s">
        <v>309</v>
      </c>
      <c r="I10" s="493">
        <v>1605.5</v>
      </c>
      <c r="J10" s="488" t="s">
        <v>309</v>
      </c>
      <c r="K10" s="494">
        <v>1605.5</v>
      </c>
      <c r="L10" s="484" t="s">
        <v>309</v>
      </c>
      <c r="M10" s="495">
        <v>3176.39</v>
      </c>
      <c r="N10" s="491" t="s">
        <v>309</v>
      </c>
      <c r="O10" s="484">
        <v>2584.39</v>
      </c>
      <c r="P10" s="491" t="s">
        <v>309</v>
      </c>
      <c r="Q10" s="484">
        <v>3227.39</v>
      </c>
      <c r="R10" s="491" t="s">
        <v>309</v>
      </c>
      <c r="S10" s="484">
        <v>3227.39</v>
      </c>
      <c r="T10" s="484" t="s">
        <v>309</v>
      </c>
      <c r="U10" s="493">
        <v>3227.39</v>
      </c>
      <c r="V10" s="484" t="s">
        <v>309</v>
      </c>
      <c r="W10" s="495">
        <v>4783.89</v>
      </c>
      <c r="X10" s="491" t="s">
        <v>309</v>
      </c>
      <c r="Y10" s="484">
        <v>3991.89</v>
      </c>
      <c r="Z10" s="491" t="s">
        <v>309</v>
      </c>
      <c r="AA10" s="484">
        <v>4832.89</v>
      </c>
      <c r="AB10" s="484" t="s">
        <v>309</v>
      </c>
      <c r="AC10" s="493">
        <v>4832.89</v>
      </c>
      <c r="AD10" s="488" t="s">
        <v>309</v>
      </c>
      <c r="AE10" s="494">
        <v>4832.89</v>
      </c>
      <c r="AF10" s="492" t="s">
        <v>309</v>
      </c>
    </row>
    <row r="11" spans="1:32" ht="15">
      <c r="A11" s="482" t="s">
        <v>313</v>
      </c>
      <c r="B11" s="483"/>
      <c r="C11" s="484">
        <v>546</v>
      </c>
      <c r="D11" s="491" t="s">
        <v>309</v>
      </c>
      <c r="E11" s="484">
        <v>578</v>
      </c>
      <c r="F11" s="491" t="s">
        <v>309</v>
      </c>
      <c r="G11" s="484">
        <v>524</v>
      </c>
      <c r="H11" s="484" t="s">
        <v>309</v>
      </c>
      <c r="I11" s="493">
        <v>532</v>
      </c>
      <c r="J11" s="488" t="s">
        <v>309</v>
      </c>
      <c r="K11" s="494">
        <v>575</v>
      </c>
      <c r="L11" s="484" t="s">
        <v>309</v>
      </c>
      <c r="M11" s="495">
        <v>3123</v>
      </c>
      <c r="N11" s="491" t="s">
        <v>309</v>
      </c>
      <c r="O11" s="484">
        <v>2890</v>
      </c>
      <c r="P11" s="491" t="s">
        <v>309</v>
      </c>
      <c r="Q11" s="484">
        <v>3117</v>
      </c>
      <c r="R11" s="491" t="s">
        <v>309</v>
      </c>
      <c r="S11" s="484">
        <v>3315</v>
      </c>
      <c r="T11" s="484" t="s">
        <v>309</v>
      </c>
      <c r="U11" s="493">
        <v>3266</v>
      </c>
      <c r="V11" s="484" t="s">
        <v>309</v>
      </c>
      <c r="W11" s="495">
        <v>3669</v>
      </c>
      <c r="X11" s="491" t="s">
        <v>309</v>
      </c>
      <c r="Y11" s="484">
        <v>3468</v>
      </c>
      <c r="Z11" s="491" t="s">
        <v>309</v>
      </c>
      <c r="AA11" s="484">
        <v>3641</v>
      </c>
      <c r="AB11" s="484" t="s">
        <v>309</v>
      </c>
      <c r="AC11" s="493">
        <v>3847</v>
      </c>
      <c r="AD11" s="488" t="s">
        <v>309</v>
      </c>
      <c r="AE11" s="493">
        <v>3841</v>
      </c>
      <c r="AF11" s="492" t="s">
        <v>309</v>
      </c>
    </row>
    <row r="12" spans="1:32" ht="15">
      <c r="A12" s="482" t="s">
        <v>283</v>
      </c>
      <c r="B12" s="483"/>
      <c r="C12" s="484">
        <v>19.42</v>
      </c>
      <c r="D12" s="491" t="s">
        <v>309</v>
      </c>
      <c r="E12" s="484">
        <v>16.93</v>
      </c>
      <c r="F12" s="491" t="s">
        <v>309</v>
      </c>
      <c r="G12" s="484">
        <v>13.73</v>
      </c>
      <c r="H12" s="484" t="s">
        <v>309</v>
      </c>
      <c r="I12" s="493">
        <v>11.02</v>
      </c>
      <c r="J12" s="488" t="s">
        <v>309</v>
      </c>
      <c r="K12" s="494">
        <v>8.85</v>
      </c>
      <c r="L12" s="484" t="s">
        <v>309</v>
      </c>
      <c r="M12" s="495">
        <v>1.16</v>
      </c>
      <c r="N12" s="491" t="s">
        <v>309</v>
      </c>
      <c r="O12" s="484">
        <v>1.38</v>
      </c>
      <c r="P12" s="491" t="s">
        <v>309</v>
      </c>
      <c r="Q12" s="484">
        <v>1.7</v>
      </c>
      <c r="R12" s="491" t="s">
        <v>309</v>
      </c>
      <c r="S12" s="484">
        <v>0.97</v>
      </c>
      <c r="T12" s="484" t="s">
        <v>309</v>
      </c>
      <c r="U12" s="493">
        <v>1.21</v>
      </c>
      <c r="V12" s="484" t="s">
        <v>309</v>
      </c>
      <c r="W12" s="495">
        <v>20.58</v>
      </c>
      <c r="X12" s="491" t="s">
        <v>309</v>
      </c>
      <c r="Y12" s="484">
        <v>18.31</v>
      </c>
      <c r="Z12" s="491" t="s">
        <v>309</v>
      </c>
      <c r="AA12" s="484">
        <v>15.43</v>
      </c>
      <c r="AB12" s="484" t="s">
        <v>309</v>
      </c>
      <c r="AC12" s="493">
        <v>11.99</v>
      </c>
      <c r="AD12" s="488" t="s">
        <v>309</v>
      </c>
      <c r="AE12" s="494">
        <v>10.06</v>
      </c>
      <c r="AF12" s="492" t="s">
        <v>309</v>
      </c>
    </row>
    <row r="13" spans="1:32" ht="15">
      <c r="A13" s="482" t="s">
        <v>238</v>
      </c>
      <c r="B13" s="483"/>
      <c r="C13" s="484">
        <v>12851</v>
      </c>
      <c r="D13" s="491" t="s">
        <v>309</v>
      </c>
      <c r="E13" s="484">
        <v>12680</v>
      </c>
      <c r="F13" s="491" t="s">
        <v>309</v>
      </c>
      <c r="G13" s="484">
        <v>13010</v>
      </c>
      <c r="H13" s="484" t="s">
        <v>309</v>
      </c>
      <c r="I13" s="493">
        <v>13660</v>
      </c>
      <c r="J13" s="488" t="s">
        <v>309</v>
      </c>
      <c r="K13" s="494">
        <v>13920</v>
      </c>
      <c r="L13" s="484" t="s">
        <v>309</v>
      </c>
      <c r="M13" s="495">
        <v>1590</v>
      </c>
      <c r="N13" s="491" t="s">
        <v>309</v>
      </c>
      <c r="O13" s="484">
        <v>1694</v>
      </c>
      <c r="P13" s="491" t="s">
        <v>309</v>
      </c>
      <c r="Q13" s="484">
        <v>1531</v>
      </c>
      <c r="R13" s="491" t="s">
        <v>309</v>
      </c>
      <c r="S13" s="484">
        <v>1480</v>
      </c>
      <c r="T13" s="484" t="s">
        <v>309</v>
      </c>
      <c r="U13" s="493">
        <v>1681</v>
      </c>
      <c r="V13" s="484" t="s">
        <v>309</v>
      </c>
      <c r="W13" s="495">
        <v>14441</v>
      </c>
      <c r="X13" s="491" t="s">
        <v>309</v>
      </c>
      <c r="Y13" s="484">
        <v>14374</v>
      </c>
      <c r="Z13" s="491" t="s">
        <v>309</v>
      </c>
      <c r="AA13" s="484">
        <v>14541</v>
      </c>
      <c r="AB13" s="484" t="s">
        <v>309</v>
      </c>
      <c r="AC13" s="493">
        <v>15140</v>
      </c>
      <c r="AD13" s="488" t="s">
        <v>309</v>
      </c>
      <c r="AE13" s="494">
        <v>15601</v>
      </c>
      <c r="AF13" s="492" t="s">
        <v>309</v>
      </c>
    </row>
    <row r="14" spans="1:32" ht="15">
      <c r="A14" s="482" t="s">
        <v>291</v>
      </c>
      <c r="B14" s="483"/>
      <c r="C14" s="484">
        <v>2428</v>
      </c>
      <c r="D14" s="491" t="s">
        <v>309</v>
      </c>
      <c r="E14" s="484">
        <v>1158</v>
      </c>
      <c r="F14" s="491" t="s">
        <v>309</v>
      </c>
      <c r="G14" s="484">
        <v>1064.43</v>
      </c>
      <c r="H14" s="484" t="s">
        <v>309</v>
      </c>
      <c r="I14" s="493">
        <v>1216.16</v>
      </c>
      <c r="J14" s="488" t="s">
        <v>309</v>
      </c>
      <c r="K14" s="494">
        <v>1216.16</v>
      </c>
      <c r="L14" s="484" t="s">
        <v>309</v>
      </c>
      <c r="M14" s="495">
        <v>524</v>
      </c>
      <c r="N14" s="491" t="s">
        <v>309</v>
      </c>
      <c r="O14" s="484">
        <v>455</v>
      </c>
      <c r="P14" s="491" t="s">
        <v>309</v>
      </c>
      <c r="Q14" s="484">
        <v>381.79</v>
      </c>
      <c r="R14" s="491" t="s">
        <v>309</v>
      </c>
      <c r="S14" s="484">
        <v>410.78</v>
      </c>
      <c r="T14" s="484" t="s">
        <v>309</v>
      </c>
      <c r="U14" s="493">
        <v>410.78</v>
      </c>
      <c r="V14" s="484" t="s">
        <v>309</v>
      </c>
      <c r="W14" s="495">
        <v>2952</v>
      </c>
      <c r="X14" s="491" t="s">
        <v>309</v>
      </c>
      <c r="Y14" s="484">
        <v>1613</v>
      </c>
      <c r="Z14" s="491" t="s">
        <v>309</v>
      </c>
      <c r="AA14" s="484">
        <v>1446.22</v>
      </c>
      <c r="AB14" s="484" t="s">
        <v>309</v>
      </c>
      <c r="AC14" s="493">
        <v>1626.94</v>
      </c>
      <c r="AD14" s="488" t="s">
        <v>309</v>
      </c>
      <c r="AE14" s="494">
        <v>1626.94</v>
      </c>
      <c r="AF14" s="492" t="s">
        <v>309</v>
      </c>
    </row>
    <row r="15" spans="1:32" ht="15">
      <c r="A15" s="482" t="s">
        <v>294</v>
      </c>
      <c r="B15" s="483"/>
      <c r="C15" s="484">
        <v>5870</v>
      </c>
      <c r="D15" s="491" t="s">
        <v>309</v>
      </c>
      <c r="E15" s="484">
        <v>6720</v>
      </c>
      <c r="F15" s="491" t="s">
        <v>309</v>
      </c>
      <c r="G15" s="484">
        <v>6910</v>
      </c>
      <c r="H15" s="484" t="s">
        <v>309</v>
      </c>
      <c r="I15" s="493">
        <v>6900</v>
      </c>
      <c r="J15" s="488" t="s">
        <v>309</v>
      </c>
      <c r="K15" s="494">
        <v>6300</v>
      </c>
      <c r="L15" s="484" t="s">
        <v>309</v>
      </c>
      <c r="M15" s="495">
        <v>3040</v>
      </c>
      <c r="N15" s="491" t="s">
        <v>309</v>
      </c>
      <c r="O15" s="484">
        <v>3480</v>
      </c>
      <c r="P15" s="491" t="s">
        <v>309</v>
      </c>
      <c r="Q15" s="484">
        <v>3590</v>
      </c>
      <c r="R15" s="491" t="s">
        <v>309</v>
      </c>
      <c r="S15" s="484">
        <v>3600</v>
      </c>
      <c r="T15" s="484" t="s">
        <v>309</v>
      </c>
      <c r="U15" s="493">
        <v>4000</v>
      </c>
      <c r="V15" s="484" t="s">
        <v>309</v>
      </c>
      <c r="W15" s="495">
        <v>8910</v>
      </c>
      <c r="X15" s="491" t="s">
        <v>309</v>
      </c>
      <c r="Y15" s="484">
        <v>10200</v>
      </c>
      <c r="Z15" s="491" t="s">
        <v>309</v>
      </c>
      <c r="AA15" s="484">
        <v>10500</v>
      </c>
      <c r="AB15" s="484" t="s">
        <v>309</v>
      </c>
      <c r="AC15" s="493">
        <v>10500</v>
      </c>
      <c r="AD15" s="488" t="s">
        <v>309</v>
      </c>
      <c r="AE15" s="494">
        <v>10300</v>
      </c>
      <c r="AF15" s="492" t="s">
        <v>309</v>
      </c>
    </row>
    <row r="16" spans="1:32" ht="15">
      <c r="A16" s="482" t="s">
        <v>122</v>
      </c>
      <c r="B16" s="483"/>
      <c r="C16" s="484">
        <v>45768.96</v>
      </c>
      <c r="D16" s="491" t="s">
        <v>309</v>
      </c>
      <c r="E16" s="484">
        <v>43725</v>
      </c>
      <c r="F16" s="491" t="s">
        <v>309</v>
      </c>
      <c r="G16" s="484">
        <v>44471</v>
      </c>
      <c r="H16" s="484" t="s">
        <v>309</v>
      </c>
      <c r="I16" s="493">
        <v>45136</v>
      </c>
      <c r="J16" s="488" t="s">
        <v>309</v>
      </c>
      <c r="K16" s="494">
        <v>45236.24</v>
      </c>
      <c r="L16" s="484" t="s">
        <v>309</v>
      </c>
      <c r="M16" s="495">
        <v>8492.9</v>
      </c>
      <c r="N16" s="491" t="s">
        <v>309</v>
      </c>
      <c r="O16" s="484">
        <v>8485</v>
      </c>
      <c r="P16" s="491" t="s">
        <v>309</v>
      </c>
      <c r="Q16" s="484">
        <v>8540</v>
      </c>
      <c r="R16" s="491" t="s">
        <v>309</v>
      </c>
      <c r="S16" s="484">
        <v>8643</v>
      </c>
      <c r="T16" s="484" t="s">
        <v>309</v>
      </c>
      <c r="U16" s="493">
        <v>8563.42</v>
      </c>
      <c r="V16" s="484" t="s">
        <v>309</v>
      </c>
      <c r="W16" s="495">
        <v>54261.86</v>
      </c>
      <c r="X16" s="491" t="s">
        <v>309</v>
      </c>
      <c r="Y16" s="484">
        <v>52210</v>
      </c>
      <c r="Z16" s="491" t="s">
        <v>309</v>
      </c>
      <c r="AA16" s="484">
        <v>53011</v>
      </c>
      <c r="AB16" s="484" t="s">
        <v>309</v>
      </c>
      <c r="AC16" s="493">
        <v>53779</v>
      </c>
      <c r="AD16" s="488" t="s">
        <v>309</v>
      </c>
      <c r="AE16" s="494">
        <v>53799.66</v>
      </c>
      <c r="AF16" s="492" t="s">
        <v>309</v>
      </c>
    </row>
    <row r="17" spans="1:32" ht="15">
      <c r="A17" s="482" t="s">
        <v>242</v>
      </c>
      <c r="B17" s="483"/>
      <c r="C17" s="484">
        <v>28739</v>
      </c>
      <c r="D17" s="491" t="s">
        <v>309</v>
      </c>
      <c r="E17" s="484">
        <v>25278</v>
      </c>
      <c r="F17" s="491" t="s">
        <v>309</v>
      </c>
      <c r="G17" s="484">
        <v>22091</v>
      </c>
      <c r="H17" s="484" t="s">
        <v>309</v>
      </c>
      <c r="I17" s="493">
        <v>19908</v>
      </c>
      <c r="J17" s="488" t="s">
        <v>309</v>
      </c>
      <c r="K17" s="494">
        <v>21450</v>
      </c>
      <c r="L17" s="484" t="s">
        <v>309</v>
      </c>
      <c r="M17" s="495">
        <v>17089</v>
      </c>
      <c r="N17" s="491" t="s">
        <v>309</v>
      </c>
      <c r="O17" s="484">
        <v>14553</v>
      </c>
      <c r="P17" s="491" t="s">
        <v>309</v>
      </c>
      <c r="Q17" s="484">
        <v>13358</v>
      </c>
      <c r="R17" s="491" t="s">
        <v>309</v>
      </c>
      <c r="S17" s="484">
        <v>12920</v>
      </c>
      <c r="T17" s="484" t="s">
        <v>309</v>
      </c>
      <c r="U17" s="493">
        <v>13500</v>
      </c>
      <c r="V17" s="484" t="s">
        <v>309</v>
      </c>
      <c r="W17" s="495">
        <v>45828</v>
      </c>
      <c r="X17" s="491" t="s">
        <v>309</v>
      </c>
      <c r="Y17" s="484">
        <v>39831</v>
      </c>
      <c r="Z17" s="491" t="s">
        <v>309</v>
      </c>
      <c r="AA17" s="484">
        <v>35449</v>
      </c>
      <c r="AB17" s="484" t="s">
        <v>309</v>
      </c>
      <c r="AC17" s="493">
        <v>32828</v>
      </c>
      <c r="AD17" s="488" t="s">
        <v>309</v>
      </c>
      <c r="AE17" s="494">
        <v>34950</v>
      </c>
      <c r="AF17" s="492" t="s">
        <v>309</v>
      </c>
    </row>
    <row r="18" spans="1:32" ht="15">
      <c r="A18" s="482" t="s">
        <v>239</v>
      </c>
      <c r="B18" s="483"/>
      <c r="C18" s="484">
        <v>43284</v>
      </c>
      <c r="D18" s="491" t="s">
        <v>309</v>
      </c>
      <c r="E18" s="484">
        <v>28709</v>
      </c>
      <c r="F18" s="491" t="s">
        <v>309</v>
      </c>
      <c r="G18" s="484">
        <v>33177</v>
      </c>
      <c r="H18" s="484" t="s">
        <v>309</v>
      </c>
      <c r="I18" s="493">
        <v>40327</v>
      </c>
      <c r="J18" s="488" t="s">
        <v>309</v>
      </c>
      <c r="K18" s="494">
        <v>43819</v>
      </c>
      <c r="L18" s="484" t="s">
        <v>309</v>
      </c>
      <c r="M18" s="495">
        <v>10426</v>
      </c>
      <c r="N18" s="491" t="s">
        <v>309</v>
      </c>
      <c r="O18" s="484">
        <v>10774</v>
      </c>
      <c r="P18" s="491" t="s">
        <v>309</v>
      </c>
      <c r="Q18" s="484">
        <v>9203</v>
      </c>
      <c r="R18" s="491" t="s">
        <v>309</v>
      </c>
      <c r="S18" s="484">
        <v>10855</v>
      </c>
      <c r="T18" s="484" t="s">
        <v>309</v>
      </c>
      <c r="U18" s="493">
        <v>10685</v>
      </c>
      <c r="V18" s="484" t="s">
        <v>309</v>
      </c>
      <c r="W18" s="495">
        <v>53710</v>
      </c>
      <c r="X18" s="491" t="s">
        <v>309</v>
      </c>
      <c r="Y18" s="484">
        <v>39483</v>
      </c>
      <c r="Z18" s="491" t="s">
        <v>309</v>
      </c>
      <c r="AA18" s="484">
        <v>42380</v>
      </c>
      <c r="AB18" s="484" t="s">
        <v>309</v>
      </c>
      <c r="AC18" s="493">
        <v>51182</v>
      </c>
      <c r="AD18" s="488" t="s">
        <v>309</v>
      </c>
      <c r="AE18" s="494">
        <v>54504</v>
      </c>
      <c r="AF18" s="492" t="s">
        <v>309</v>
      </c>
    </row>
    <row r="19" spans="1:32" ht="15">
      <c r="A19" s="482" t="s">
        <v>314</v>
      </c>
      <c r="B19" s="483"/>
      <c r="C19" s="484">
        <v>600.39</v>
      </c>
      <c r="D19" s="491" t="s">
        <v>309</v>
      </c>
      <c r="E19" s="484">
        <v>367</v>
      </c>
      <c r="F19" s="491" t="s">
        <v>309</v>
      </c>
      <c r="G19" s="484">
        <v>484</v>
      </c>
      <c r="H19" s="484" t="s">
        <v>309</v>
      </c>
      <c r="I19" s="493">
        <v>495.19</v>
      </c>
      <c r="J19" s="488" t="s">
        <v>309</v>
      </c>
      <c r="K19" s="494">
        <v>460.51</v>
      </c>
      <c r="L19" s="484" t="s">
        <v>309</v>
      </c>
      <c r="M19" s="495">
        <v>1644.55</v>
      </c>
      <c r="N19" s="491" t="s">
        <v>309</v>
      </c>
      <c r="O19" s="484">
        <v>1548.53</v>
      </c>
      <c r="P19" s="491" t="s">
        <v>309</v>
      </c>
      <c r="Q19" s="484">
        <v>1107.3</v>
      </c>
      <c r="R19" s="491" t="s">
        <v>309</v>
      </c>
      <c r="S19" s="484">
        <v>1177.66</v>
      </c>
      <c r="T19" s="484" t="s">
        <v>309</v>
      </c>
      <c r="U19" s="493">
        <v>1065.08</v>
      </c>
      <c r="V19" s="484" t="s">
        <v>309</v>
      </c>
      <c r="W19" s="495">
        <v>2244.93</v>
      </c>
      <c r="X19" s="491" t="s">
        <v>309</v>
      </c>
      <c r="Y19" s="484">
        <v>1915.52</v>
      </c>
      <c r="Z19" s="491" t="s">
        <v>309</v>
      </c>
      <c r="AA19" s="484">
        <v>1591.3</v>
      </c>
      <c r="AB19" s="484" t="s">
        <v>309</v>
      </c>
      <c r="AC19" s="493">
        <v>1672.86</v>
      </c>
      <c r="AD19" s="488" t="s">
        <v>309</v>
      </c>
      <c r="AE19" s="494">
        <v>1525.59</v>
      </c>
      <c r="AF19" s="492" t="s">
        <v>309</v>
      </c>
    </row>
    <row r="20" spans="1:32" ht="15">
      <c r="A20" s="482" t="s">
        <v>315</v>
      </c>
      <c r="B20" s="483"/>
      <c r="C20" s="484">
        <v>696.3</v>
      </c>
      <c r="D20" s="491" t="s">
        <v>309</v>
      </c>
      <c r="E20" s="484">
        <v>616</v>
      </c>
      <c r="F20" s="491" t="s">
        <v>309</v>
      </c>
      <c r="G20" s="484">
        <v>620.1</v>
      </c>
      <c r="H20" s="484" t="s">
        <v>309</v>
      </c>
      <c r="I20" s="493">
        <v>678</v>
      </c>
      <c r="J20" s="488" t="s">
        <v>309</v>
      </c>
      <c r="K20" s="494">
        <v>861.3</v>
      </c>
      <c r="L20" s="484" t="s">
        <v>309</v>
      </c>
      <c r="M20" s="495">
        <v>5205.7</v>
      </c>
      <c r="N20" s="491" t="s">
        <v>309</v>
      </c>
      <c r="O20" s="484">
        <v>5195</v>
      </c>
      <c r="P20" s="491" t="s">
        <v>309</v>
      </c>
      <c r="Q20" s="484">
        <v>5216.3</v>
      </c>
      <c r="R20" s="491" t="s">
        <v>309</v>
      </c>
      <c r="S20" s="484">
        <v>5107</v>
      </c>
      <c r="T20" s="484" t="s">
        <v>309</v>
      </c>
      <c r="U20" s="493">
        <v>4799</v>
      </c>
      <c r="V20" s="484" t="s">
        <v>309</v>
      </c>
      <c r="W20" s="495">
        <v>5902</v>
      </c>
      <c r="X20" s="491" t="s">
        <v>309</v>
      </c>
      <c r="Y20" s="484">
        <v>5811</v>
      </c>
      <c r="Z20" s="491" t="s">
        <v>309</v>
      </c>
      <c r="AA20" s="484">
        <v>5836.4</v>
      </c>
      <c r="AB20" s="484" t="s">
        <v>309</v>
      </c>
      <c r="AC20" s="493">
        <v>5785</v>
      </c>
      <c r="AD20" s="488" t="s">
        <v>309</v>
      </c>
      <c r="AE20" s="494">
        <v>5660.3</v>
      </c>
      <c r="AF20" s="492" t="s">
        <v>309</v>
      </c>
    </row>
    <row r="21" spans="1:32" ht="15">
      <c r="A21" s="482" t="s">
        <v>290</v>
      </c>
      <c r="B21" s="483"/>
      <c r="C21" s="484">
        <v>2631.2</v>
      </c>
      <c r="D21" s="491" t="s">
        <v>309</v>
      </c>
      <c r="E21" s="484">
        <v>2421</v>
      </c>
      <c r="F21" s="491" t="s">
        <v>309</v>
      </c>
      <c r="G21" s="484">
        <v>2600.3</v>
      </c>
      <c r="H21" s="484" t="s">
        <v>309</v>
      </c>
      <c r="I21" s="493">
        <v>2643.25</v>
      </c>
      <c r="J21" s="488" t="s">
        <v>309</v>
      </c>
      <c r="K21" s="494">
        <v>2548.94</v>
      </c>
      <c r="L21" s="484" t="s">
        <v>309</v>
      </c>
      <c r="M21" s="495">
        <v>41.9</v>
      </c>
      <c r="N21" s="491" t="s">
        <v>309</v>
      </c>
      <c r="O21" s="484">
        <v>34</v>
      </c>
      <c r="P21" s="491" t="s">
        <v>309</v>
      </c>
      <c r="Q21" s="484">
        <v>45.8</v>
      </c>
      <c r="R21" s="491" t="s">
        <v>309</v>
      </c>
      <c r="S21" s="484">
        <v>40.05</v>
      </c>
      <c r="T21" s="484" t="s">
        <v>309</v>
      </c>
      <c r="U21" s="493">
        <v>13.09</v>
      </c>
      <c r="V21" s="484" t="s">
        <v>309</v>
      </c>
      <c r="W21" s="495">
        <v>2673.1</v>
      </c>
      <c r="X21" s="491" t="s">
        <v>309</v>
      </c>
      <c r="Y21" s="484">
        <v>2455</v>
      </c>
      <c r="Z21" s="491" t="s">
        <v>309</v>
      </c>
      <c r="AA21" s="484">
        <v>2646.1</v>
      </c>
      <c r="AB21" s="484" t="s">
        <v>309</v>
      </c>
      <c r="AC21" s="493">
        <v>2683.3</v>
      </c>
      <c r="AD21" s="488" t="s">
        <v>309</v>
      </c>
      <c r="AE21" s="494">
        <v>2562.03</v>
      </c>
      <c r="AF21" s="492" t="s">
        <v>309</v>
      </c>
    </row>
    <row r="22" spans="1:32" ht="15">
      <c r="A22" s="482" t="s">
        <v>317</v>
      </c>
      <c r="B22" s="483"/>
      <c r="C22" s="484">
        <v>65</v>
      </c>
      <c r="D22" s="491" t="s">
        <v>309</v>
      </c>
      <c r="E22" s="484">
        <v>25</v>
      </c>
      <c r="F22" s="491" t="s">
        <v>309</v>
      </c>
      <c r="G22" s="484">
        <v>25</v>
      </c>
      <c r="H22" s="484" t="s">
        <v>309</v>
      </c>
      <c r="I22" s="493">
        <v>25</v>
      </c>
      <c r="J22" s="488" t="s">
        <v>309</v>
      </c>
      <c r="K22" s="494">
        <v>25</v>
      </c>
      <c r="L22" s="484" t="s">
        <v>309</v>
      </c>
      <c r="M22" s="495">
        <v>16</v>
      </c>
      <c r="N22" s="491" t="s">
        <v>309</v>
      </c>
      <c r="O22" s="484">
        <v>2</v>
      </c>
      <c r="P22" s="491" t="s">
        <v>309</v>
      </c>
      <c r="Q22" s="484">
        <v>2</v>
      </c>
      <c r="R22" s="491" t="s">
        <v>309</v>
      </c>
      <c r="S22" s="484">
        <v>2</v>
      </c>
      <c r="T22" s="484" t="s">
        <v>309</v>
      </c>
      <c r="U22" s="493">
        <v>2</v>
      </c>
      <c r="V22" s="484" t="s">
        <v>309</v>
      </c>
      <c r="W22" s="495">
        <v>81</v>
      </c>
      <c r="X22" s="491" t="s">
        <v>309</v>
      </c>
      <c r="Y22" s="484">
        <v>27</v>
      </c>
      <c r="Z22" s="491" t="s">
        <v>309</v>
      </c>
      <c r="AA22" s="484">
        <v>27</v>
      </c>
      <c r="AB22" s="484" t="s">
        <v>309</v>
      </c>
      <c r="AC22" s="493">
        <v>27</v>
      </c>
      <c r="AD22" s="488" t="s">
        <v>309</v>
      </c>
      <c r="AE22" s="494">
        <v>27</v>
      </c>
      <c r="AF22" s="492" t="s">
        <v>309</v>
      </c>
    </row>
    <row r="23" spans="1:32" ht="15">
      <c r="A23" s="482" t="s">
        <v>179</v>
      </c>
      <c r="B23" s="483"/>
      <c r="C23" s="484">
        <v>1719</v>
      </c>
      <c r="D23" s="491" t="s">
        <v>309</v>
      </c>
      <c r="E23" s="484">
        <v>1526</v>
      </c>
      <c r="F23" s="491" t="s">
        <v>309</v>
      </c>
      <c r="G23" s="484">
        <v>1363</v>
      </c>
      <c r="H23" s="484" t="s">
        <v>309</v>
      </c>
      <c r="I23" s="493">
        <v>1457</v>
      </c>
      <c r="J23" s="488" t="s">
        <v>309</v>
      </c>
      <c r="K23" s="494">
        <v>1559.46</v>
      </c>
      <c r="L23" s="484" t="s">
        <v>309</v>
      </c>
      <c r="M23" s="495">
        <v>7610</v>
      </c>
      <c r="N23" s="491" t="s">
        <v>309</v>
      </c>
      <c r="O23" s="484">
        <v>6573</v>
      </c>
      <c r="P23" s="491" t="s">
        <v>309</v>
      </c>
      <c r="Q23" s="484">
        <v>6148</v>
      </c>
      <c r="R23" s="491" t="s">
        <v>309</v>
      </c>
      <c r="S23" s="484">
        <v>6762</v>
      </c>
      <c r="T23" s="484" t="s">
        <v>309</v>
      </c>
      <c r="U23" s="493">
        <v>7137.93</v>
      </c>
      <c r="V23" s="484" t="s">
        <v>309</v>
      </c>
      <c r="W23" s="495">
        <v>9329</v>
      </c>
      <c r="X23" s="491" t="s">
        <v>309</v>
      </c>
      <c r="Y23" s="484">
        <v>8099</v>
      </c>
      <c r="Z23" s="491" t="s">
        <v>309</v>
      </c>
      <c r="AA23" s="484">
        <v>7511</v>
      </c>
      <c r="AB23" s="484" t="s">
        <v>309</v>
      </c>
      <c r="AC23" s="493">
        <v>8219</v>
      </c>
      <c r="AD23" s="488" t="s">
        <v>309</v>
      </c>
      <c r="AE23" s="494">
        <v>8697.39</v>
      </c>
      <c r="AF23" s="492" t="s">
        <v>309</v>
      </c>
    </row>
    <row r="24" spans="1:32" ht="15">
      <c r="A24" s="482" t="s">
        <v>295</v>
      </c>
      <c r="B24" s="483"/>
      <c r="C24" s="484">
        <v>9618</v>
      </c>
      <c r="D24" s="491" t="s">
        <v>309</v>
      </c>
      <c r="E24" s="484">
        <v>8588</v>
      </c>
      <c r="F24" s="491" t="s">
        <v>309</v>
      </c>
      <c r="G24" s="484">
        <v>8551.7</v>
      </c>
      <c r="H24" s="484" t="s">
        <v>309</v>
      </c>
      <c r="I24" s="493">
        <v>7008.82</v>
      </c>
      <c r="J24" s="488" t="s">
        <v>309</v>
      </c>
      <c r="K24" s="494">
        <v>6738</v>
      </c>
      <c r="L24" s="484" t="s">
        <v>309</v>
      </c>
      <c r="M24" s="495">
        <v>4686</v>
      </c>
      <c r="N24" s="491" t="s">
        <v>309</v>
      </c>
      <c r="O24" s="484">
        <v>4253</v>
      </c>
      <c r="P24" s="491" t="s">
        <v>309</v>
      </c>
      <c r="Q24" s="484">
        <v>4914.2</v>
      </c>
      <c r="R24" s="491" t="s">
        <v>309</v>
      </c>
      <c r="S24" s="484">
        <v>5906.99</v>
      </c>
      <c r="T24" s="484" t="s">
        <v>309</v>
      </c>
      <c r="U24" s="493">
        <v>6016</v>
      </c>
      <c r="V24" s="484" t="s">
        <v>309</v>
      </c>
      <c r="W24" s="495">
        <v>14304</v>
      </c>
      <c r="X24" s="491" t="s">
        <v>309</v>
      </c>
      <c r="Y24" s="484">
        <v>12841</v>
      </c>
      <c r="Z24" s="491" t="s">
        <v>309</v>
      </c>
      <c r="AA24" s="484">
        <v>13465.9</v>
      </c>
      <c r="AB24" s="484" t="s">
        <v>309</v>
      </c>
      <c r="AC24" s="493">
        <v>12915.81</v>
      </c>
      <c r="AD24" s="488" t="s">
        <v>309</v>
      </c>
      <c r="AE24" s="494">
        <v>12754</v>
      </c>
      <c r="AF24" s="492" t="s">
        <v>309</v>
      </c>
    </row>
    <row r="25" spans="1:32" ht="15">
      <c r="A25" s="482" t="s">
        <v>377</v>
      </c>
      <c r="B25" s="483"/>
      <c r="C25" s="484">
        <v>19</v>
      </c>
      <c r="D25" s="491" t="s">
        <v>309</v>
      </c>
      <c r="E25" s="484">
        <v>17</v>
      </c>
      <c r="F25" s="491" t="s">
        <v>309</v>
      </c>
      <c r="G25" s="484">
        <v>17</v>
      </c>
      <c r="H25" s="484" t="s">
        <v>309</v>
      </c>
      <c r="I25" s="493">
        <v>17</v>
      </c>
      <c r="J25" s="488" t="s">
        <v>309</v>
      </c>
      <c r="K25" s="494">
        <v>17</v>
      </c>
      <c r="L25" s="484" t="s">
        <v>309</v>
      </c>
      <c r="M25" s="495">
        <v>5.17</v>
      </c>
      <c r="N25" s="491" t="s">
        <v>309</v>
      </c>
      <c r="O25" s="484">
        <v>5.17</v>
      </c>
      <c r="P25" s="491" t="s">
        <v>309</v>
      </c>
      <c r="Q25" s="484">
        <v>5.17</v>
      </c>
      <c r="R25" s="491" t="s">
        <v>309</v>
      </c>
      <c r="S25" s="484">
        <v>5.17</v>
      </c>
      <c r="T25" s="484" t="s">
        <v>309</v>
      </c>
      <c r="U25" s="493">
        <v>5.17</v>
      </c>
      <c r="V25" s="484" t="s">
        <v>309</v>
      </c>
      <c r="W25" s="495">
        <v>24.17</v>
      </c>
      <c r="X25" s="491" t="s">
        <v>309</v>
      </c>
      <c r="Y25" s="484">
        <v>22.17</v>
      </c>
      <c r="Z25" s="491" t="s">
        <v>309</v>
      </c>
      <c r="AA25" s="484">
        <v>22.17</v>
      </c>
      <c r="AB25" s="484" t="s">
        <v>309</v>
      </c>
      <c r="AC25" s="493">
        <v>22.17</v>
      </c>
      <c r="AD25" s="488" t="s">
        <v>309</v>
      </c>
      <c r="AE25" s="494">
        <v>22.17</v>
      </c>
      <c r="AF25" s="492" t="s">
        <v>309</v>
      </c>
    </row>
    <row r="26" spans="1:32" ht="15">
      <c r="A26" s="482" t="s">
        <v>280</v>
      </c>
      <c r="B26" s="483"/>
      <c r="C26" s="484">
        <v>2880</v>
      </c>
      <c r="D26" s="491" t="s">
        <v>309</v>
      </c>
      <c r="E26" s="484">
        <v>2930</v>
      </c>
      <c r="F26" s="491" t="s">
        <v>309</v>
      </c>
      <c r="G26" s="484">
        <v>3370</v>
      </c>
      <c r="H26" s="484" t="s">
        <v>309</v>
      </c>
      <c r="I26" s="493">
        <v>3570</v>
      </c>
      <c r="J26" s="488" t="s">
        <v>309</v>
      </c>
      <c r="K26" s="494">
        <v>3460</v>
      </c>
      <c r="L26" s="484" t="s">
        <v>309</v>
      </c>
      <c r="M26" s="495">
        <v>2620</v>
      </c>
      <c r="N26" s="491" t="s">
        <v>309</v>
      </c>
      <c r="O26" s="484">
        <v>2770</v>
      </c>
      <c r="P26" s="491" t="s">
        <v>309</v>
      </c>
      <c r="Q26" s="484">
        <v>2745</v>
      </c>
      <c r="R26" s="491" t="s">
        <v>309</v>
      </c>
      <c r="S26" s="484">
        <v>2705</v>
      </c>
      <c r="T26" s="484" t="s">
        <v>309</v>
      </c>
      <c r="U26" s="493">
        <v>2660</v>
      </c>
      <c r="V26" s="484" t="s">
        <v>309</v>
      </c>
      <c r="W26" s="495">
        <v>5500</v>
      </c>
      <c r="X26" s="491" t="s">
        <v>309</v>
      </c>
      <c r="Y26" s="484">
        <v>5700</v>
      </c>
      <c r="Z26" s="491" t="s">
        <v>309</v>
      </c>
      <c r="AA26" s="484">
        <v>6115</v>
      </c>
      <c r="AB26" s="484" t="s">
        <v>309</v>
      </c>
      <c r="AC26" s="493">
        <v>6275</v>
      </c>
      <c r="AD26" s="488" t="s">
        <v>309</v>
      </c>
      <c r="AE26" s="494">
        <v>6120</v>
      </c>
      <c r="AF26" s="492" t="s">
        <v>309</v>
      </c>
    </row>
    <row r="27" spans="1:32" ht="15">
      <c r="A27" s="482" t="s">
        <v>296</v>
      </c>
      <c r="B27" s="483"/>
      <c r="C27" s="484">
        <v>121.4</v>
      </c>
      <c r="D27" s="491" t="s">
        <v>309</v>
      </c>
      <c r="E27" s="484">
        <v>121.23</v>
      </c>
      <c r="F27" s="491" t="s">
        <v>309</v>
      </c>
      <c r="G27" s="484">
        <v>117.07</v>
      </c>
      <c r="H27" s="484" t="s">
        <v>309</v>
      </c>
      <c r="I27" s="493">
        <v>127.9</v>
      </c>
      <c r="J27" s="488" t="s">
        <v>309</v>
      </c>
      <c r="K27" s="494">
        <v>95.53</v>
      </c>
      <c r="L27" s="484" t="s">
        <v>309</v>
      </c>
      <c r="M27" s="495">
        <v>138.3</v>
      </c>
      <c r="N27" s="491" t="s">
        <v>309</v>
      </c>
      <c r="O27" s="484">
        <v>148.32</v>
      </c>
      <c r="P27" s="491" t="s">
        <v>309</v>
      </c>
      <c r="Q27" s="484">
        <v>139.97</v>
      </c>
      <c r="R27" s="491" t="s">
        <v>309</v>
      </c>
      <c r="S27" s="484">
        <v>129.4</v>
      </c>
      <c r="T27" s="484" t="s">
        <v>309</v>
      </c>
      <c r="U27" s="493">
        <v>181.08</v>
      </c>
      <c r="V27" s="484" t="s">
        <v>309</v>
      </c>
      <c r="W27" s="495">
        <v>259.7</v>
      </c>
      <c r="X27" s="491" t="s">
        <v>309</v>
      </c>
      <c r="Y27" s="484">
        <v>269.55</v>
      </c>
      <c r="Z27" s="491" t="s">
        <v>309</v>
      </c>
      <c r="AA27" s="484">
        <v>257.04</v>
      </c>
      <c r="AB27" s="484" t="s">
        <v>309</v>
      </c>
      <c r="AC27" s="493">
        <v>257.3</v>
      </c>
      <c r="AD27" s="488" t="s">
        <v>309</v>
      </c>
      <c r="AE27" s="494">
        <v>276.61</v>
      </c>
      <c r="AF27" s="492" t="s">
        <v>309</v>
      </c>
    </row>
    <row r="28" spans="1:32" ht="15">
      <c r="A28" s="482" t="s">
        <v>284</v>
      </c>
      <c r="B28" s="483"/>
      <c r="C28" s="484">
        <v>645</v>
      </c>
      <c r="D28" s="491" t="s">
        <v>309</v>
      </c>
      <c r="E28" s="484">
        <v>544</v>
      </c>
      <c r="F28" s="491" t="s">
        <v>309</v>
      </c>
      <c r="G28" s="484">
        <v>522</v>
      </c>
      <c r="H28" s="484" t="s">
        <v>309</v>
      </c>
      <c r="I28" s="493">
        <v>594</v>
      </c>
      <c r="J28" s="488" t="s">
        <v>309</v>
      </c>
      <c r="K28" s="494">
        <v>600</v>
      </c>
      <c r="L28" s="484" t="s">
        <v>309</v>
      </c>
      <c r="M28" s="495">
        <v>394</v>
      </c>
      <c r="N28" s="491" t="s">
        <v>309</v>
      </c>
      <c r="O28" s="484">
        <v>321</v>
      </c>
      <c r="P28" s="491" t="s">
        <v>309</v>
      </c>
      <c r="Q28" s="484">
        <v>317</v>
      </c>
      <c r="R28" s="491" t="s">
        <v>309</v>
      </c>
      <c r="S28" s="484">
        <v>450</v>
      </c>
      <c r="T28" s="484" t="s">
        <v>309</v>
      </c>
      <c r="U28" s="493">
        <v>426</v>
      </c>
      <c r="V28" s="484" t="s">
        <v>309</v>
      </c>
      <c r="W28" s="495">
        <v>1039</v>
      </c>
      <c r="X28" s="491" t="s">
        <v>309</v>
      </c>
      <c r="Y28" s="484">
        <v>865</v>
      </c>
      <c r="Z28" s="491" t="s">
        <v>309</v>
      </c>
      <c r="AA28" s="484">
        <v>839</v>
      </c>
      <c r="AB28" s="484" t="s">
        <v>309</v>
      </c>
      <c r="AC28" s="493">
        <v>1044</v>
      </c>
      <c r="AD28" s="488" t="s">
        <v>309</v>
      </c>
      <c r="AE28" s="494">
        <v>1026</v>
      </c>
      <c r="AF28" s="492" t="s">
        <v>309</v>
      </c>
    </row>
    <row r="29" spans="1:32" ht="15">
      <c r="A29" s="482" t="s">
        <v>127</v>
      </c>
      <c r="B29" s="483"/>
      <c r="C29" s="484">
        <v>7601.87</v>
      </c>
      <c r="D29" s="491" t="s">
        <v>309</v>
      </c>
      <c r="E29" s="484">
        <v>8242.37</v>
      </c>
      <c r="F29" s="491" t="s">
        <v>309</v>
      </c>
      <c r="G29" s="484">
        <v>7849.39</v>
      </c>
      <c r="H29" s="484" t="s">
        <v>309</v>
      </c>
      <c r="I29" s="493">
        <v>7449.93</v>
      </c>
      <c r="J29" s="488" t="s">
        <v>309</v>
      </c>
      <c r="K29" s="494">
        <v>7997</v>
      </c>
      <c r="L29" s="484" t="s">
        <v>309</v>
      </c>
      <c r="M29" s="495">
        <v>554.39</v>
      </c>
      <c r="N29" s="491" t="s">
        <v>309</v>
      </c>
      <c r="O29" s="484">
        <v>753.97</v>
      </c>
      <c r="P29" s="491" t="s">
        <v>309</v>
      </c>
      <c r="Q29" s="484">
        <v>802.2</v>
      </c>
      <c r="R29" s="491" t="s">
        <v>309</v>
      </c>
      <c r="S29" s="484">
        <v>848.23</v>
      </c>
      <c r="T29" s="484" t="s">
        <v>309</v>
      </c>
      <c r="U29" s="493">
        <v>783</v>
      </c>
      <c r="V29" s="484" t="s">
        <v>309</v>
      </c>
      <c r="W29" s="495">
        <v>8156.26</v>
      </c>
      <c r="X29" s="491" t="s">
        <v>309</v>
      </c>
      <c r="Y29" s="484">
        <v>8996.34</v>
      </c>
      <c r="Z29" s="491" t="s">
        <v>309</v>
      </c>
      <c r="AA29" s="484">
        <v>8651.59</v>
      </c>
      <c r="AB29" s="484" t="s">
        <v>309</v>
      </c>
      <c r="AC29" s="493">
        <v>8298.16</v>
      </c>
      <c r="AD29" s="488" t="s">
        <v>309</v>
      </c>
      <c r="AE29" s="494">
        <v>8780</v>
      </c>
      <c r="AF29" s="492" t="s">
        <v>309</v>
      </c>
    </row>
    <row r="30" spans="1:32" ht="15">
      <c r="A30" s="482" t="s">
        <v>292</v>
      </c>
      <c r="B30" s="483"/>
      <c r="C30" s="484">
        <v>19541</v>
      </c>
      <c r="D30" s="491" t="s">
        <v>309</v>
      </c>
      <c r="E30" s="484">
        <v>18047</v>
      </c>
      <c r="F30" s="491" t="s">
        <v>309</v>
      </c>
      <c r="G30" s="484">
        <v>19828</v>
      </c>
      <c r="H30" s="484" t="s">
        <v>309</v>
      </c>
      <c r="I30" s="493">
        <v>21887</v>
      </c>
      <c r="J30" s="488" t="s">
        <v>309</v>
      </c>
      <c r="K30" s="494">
        <v>23501</v>
      </c>
      <c r="L30" s="484" t="s">
        <v>309</v>
      </c>
      <c r="M30" s="495">
        <v>6484</v>
      </c>
      <c r="N30" s="491" t="s">
        <v>309</v>
      </c>
      <c r="O30" s="484">
        <v>6969</v>
      </c>
      <c r="P30" s="491" t="s">
        <v>309</v>
      </c>
      <c r="Q30" s="484">
        <v>7309</v>
      </c>
      <c r="R30" s="491" t="s">
        <v>309</v>
      </c>
      <c r="S30" s="484">
        <v>8949</v>
      </c>
      <c r="T30" s="484" t="s">
        <v>309</v>
      </c>
      <c r="U30" s="493">
        <v>9232</v>
      </c>
      <c r="V30" s="484" t="s">
        <v>309</v>
      </c>
      <c r="W30" s="495">
        <v>26025</v>
      </c>
      <c r="X30" s="491" t="s">
        <v>309</v>
      </c>
      <c r="Y30" s="484">
        <v>25016</v>
      </c>
      <c r="Z30" s="491" t="s">
        <v>309</v>
      </c>
      <c r="AA30" s="484">
        <v>27137</v>
      </c>
      <c r="AB30" s="484" t="s">
        <v>309</v>
      </c>
      <c r="AC30" s="493">
        <v>30836</v>
      </c>
      <c r="AD30" s="488" t="s">
        <v>309</v>
      </c>
      <c r="AE30" s="494">
        <v>32733</v>
      </c>
      <c r="AF30" s="492" t="s">
        <v>309</v>
      </c>
    </row>
    <row r="31" spans="1:32" ht="15">
      <c r="A31" s="482" t="s">
        <v>289</v>
      </c>
      <c r="B31" s="483"/>
      <c r="C31" s="484">
        <v>5182</v>
      </c>
      <c r="D31" s="491" t="s">
        <v>309</v>
      </c>
      <c r="E31" s="484">
        <v>3958</v>
      </c>
      <c r="F31" s="491" t="s">
        <v>309</v>
      </c>
      <c r="G31" s="484">
        <v>3285</v>
      </c>
      <c r="H31" s="484" t="s">
        <v>309</v>
      </c>
      <c r="I31" s="493">
        <v>3532</v>
      </c>
      <c r="J31" s="488" t="s">
        <v>309</v>
      </c>
      <c r="K31" s="494">
        <v>4607</v>
      </c>
      <c r="L31" s="484" t="s">
        <v>309</v>
      </c>
      <c r="M31" s="495">
        <v>5649</v>
      </c>
      <c r="N31" s="491" t="s">
        <v>309</v>
      </c>
      <c r="O31" s="484">
        <v>4988</v>
      </c>
      <c r="P31" s="491" t="s">
        <v>309</v>
      </c>
      <c r="Q31" s="484">
        <v>5457</v>
      </c>
      <c r="R31" s="491" t="s">
        <v>309</v>
      </c>
      <c r="S31" s="484">
        <v>6141</v>
      </c>
      <c r="T31" s="484" t="s">
        <v>309</v>
      </c>
      <c r="U31" s="493">
        <v>6946</v>
      </c>
      <c r="V31" s="484" t="s">
        <v>309</v>
      </c>
      <c r="W31" s="495">
        <v>10831</v>
      </c>
      <c r="X31" s="491" t="s">
        <v>309</v>
      </c>
      <c r="Y31" s="484">
        <v>8946</v>
      </c>
      <c r="Z31" s="491" t="s">
        <v>309</v>
      </c>
      <c r="AA31" s="484">
        <v>8742</v>
      </c>
      <c r="AB31" s="484" t="s">
        <v>309</v>
      </c>
      <c r="AC31" s="493">
        <v>9673</v>
      </c>
      <c r="AD31" s="488" t="s">
        <v>309</v>
      </c>
      <c r="AE31" s="494">
        <v>11553</v>
      </c>
      <c r="AF31" s="492" t="s">
        <v>309</v>
      </c>
    </row>
    <row r="32" spans="1:32" ht="15">
      <c r="A32" s="482" t="s">
        <v>297</v>
      </c>
      <c r="B32" s="483"/>
      <c r="C32" s="484">
        <v>4918.5</v>
      </c>
      <c r="D32" s="491" t="s">
        <v>309</v>
      </c>
      <c r="E32" s="484">
        <v>4523</v>
      </c>
      <c r="F32" s="491" t="s">
        <v>309</v>
      </c>
      <c r="G32" s="484">
        <v>6592</v>
      </c>
      <c r="H32" s="484" t="s">
        <v>309</v>
      </c>
      <c r="I32" s="493">
        <v>6568</v>
      </c>
      <c r="J32" s="488" t="s">
        <v>309</v>
      </c>
      <c r="K32" s="494">
        <v>5848</v>
      </c>
      <c r="L32" s="484" t="s">
        <v>309</v>
      </c>
      <c r="M32" s="495">
        <v>8229.7</v>
      </c>
      <c r="N32" s="491" t="s">
        <v>309</v>
      </c>
      <c r="O32" s="484">
        <v>7901</v>
      </c>
      <c r="P32" s="491" t="s">
        <v>309</v>
      </c>
      <c r="Q32" s="484">
        <v>8562</v>
      </c>
      <c r="R32" s="491" t="s">
        <v>309</v>
      </c>
      <c r="S32" s="484">
        <v>8872</v>
      </c>
      <c r="T32" s="484" t="s">
        <v>309</v>
      </c>
      <c r="U32" s="493">
        <v>9929</v>
      </c>
      <c r="V32" s="484" t="s">
        <v>309</v>
      </c>
      <c r="W32" s="495">
        <v>13148.2</v>
      </c>
      <c r="X32" s="491" t="s">
        <v>309</v>
      </c>
      <c r="Y32" s="484">
        <v>12424</v>
      </c>
      <c r="Z32" s="491" t="s">
        <v>309</v>
      </c>
      <c r="AA32" s="484">
        <v>15154</v>
      </c>
      <c r="AB32" s="484" t="s">
        <v>309</v>
      </c>
      <c r="AC32" s="493">
        <v>15440</v>
      </c>
      <c r="AD32" s="488" t="s">
        <v>309</v>
      </c>
      <c r="AE32" s="494">
        <v>15777</v>
      </c>
      <c r="AF32" s="492" t="s">
        <v>309</v>
      </c>
    </row>
    <row r="33" spans="1:32" ht="15">
      <c r="A33" s="482" t="s">
        <v>319</v>
      </c>
      <c r="B33" s="483"/>
      <c r="C33" s="484">
        <v>373.5</v>
      </c>
      <c r="D33" s="491" t="s">
        <v>309</v>
      </c>
      <c r="E33" s="484">
        <v>336.8</v>
      </c>
      <c r="F33" s="491" t="s">
        <v>309</v>
      </c>
      <c r="G33" s="484">
        <v>370</v>
      </c>
      <c r="H33" s="484" t="s">
        <v>309</v>
      </c>
      <c r="I33" s="493">
        <v>418</v>
      </c>
      <c r="J33" s="488" t="s">
        <v>309</v>
      </c>
      <c r="K33" s="494">
        <v>527</v>
      </c>
      <c r="L33" s="484" t="s">
        <v>309</v>
      </c>
      <c r="M33" s="495">
        <v>2980</v>
      </c>
      <c r="N33" s="491" t="s">
        <v>309</v>
      </c>
      <c r="O33" s="484">
        <v>2147.5</v>
      </c>
      <c r="P33" s="491" t="s">
        <v>309</v>
      </c>
      <c r="Q33" s="484">
        <v>2566</v>
      </c>
      <c r="R33" s="491" t="s">
        <v>309</v>
      </c>
      <c r="S33" s="484">
        <v>2737</v>
      </c>
      <c r="T33" s="484" t="s">
        <v>309</v>
      </c>
      <c r="U33" s="493">
        <v>2993</v>
      </c>
      <c r="V33" s="484" t="s">
        <v>309</v>
      </c>
      <c r="W33" s="495">
        <v>3353.5</v>
      </c>
      <c r="X33" s="491" t="s">
        <v>309</v>
      </c>
      <c r="Y33" s="484">
        <v>2484.3</v>
      </c>
      <c r="Z33" s="491" t="s">
        <v>309</v>
      </c>
      <c r="AA33" s="484">
        <v>2936</v>
      </c>
      <c r="AB33" s="484" t="s">
        <v>309</v>
      </c>
      <c r="AC33" s="493">
        <v>3155</v>
      </c>
      <c r="AD33" s="488" t="s">
        <v>309</v>
      </c>
      <c r="AE33" s="494">
        <v>3520</v>
      </c>
      <c r="AF33" s="492" t="s">
        <v>309</v>
      </c>
    </row>
    <row r="34" spans="1:32" ht="15">
      <c r="A34" s="482" t="s">
        <v>293</v>
      </c>
      <c r="B34" s="483"/>
      <c r="C34" s="484">
        <v>3211</v>
      </c>
      <c r="D34" s="491" t="s">
        <v>309</v>
      </c>
      <c r="E34" s="484">
        <v>2755.5</v>
      </c>
      <c r="F34" s="491" t="s">
        <v>309</v>
      </c>
      <c r="G34" s="484">
        <v>2884</v>
      </c>
      <c r="H34" s="484" t="s">
        <v>309</v>
      </c>
      <c r="I34" s="493">
        <v>3375</v>
      </c>
      <c r="J34" s="488" t="s">
        <v>309</v>
      </c>
      <c r="K34" s="494">
        <v>4036</v>
      </c>
      <c r="L34" s="484" t="s">
        <v>309</v>
      </c>
      <c r="M34" s="495">
        <v>2952</v>
      </c>
      <c r="N34" s="491" t="s">
        <v>309</v>
      </c>
      <c r="O34" s="484">
        <v>3032.4</v>
      </c>
      <c r="P34" s="491" t="s">
        <v>309</v>
      </c>
      <c r="Q34" s="484">
        <v>2898</v>
      </c>
      <c r="R34" s="491" t="s">
        <v>309</v>
      </c>
      <c r="S34" s="484">
        <v>2980</v>
      </c>
      <c r="T34" s="484" t="s">
        <v>309</v>
      </c>
      <c r="U34" s="493">
        <v>3204</v>
      </c>
      <c r="V34" s="484" t="s">
        <v>309</v>
      </c>
      <c r="W34" s="495">
        <v>6163</v>
      </c>
      <c r="X34" s="491" t="s">
        <v>309</v>
      </c>
      <c r="Y34" s="484">
        <v>5787.9</v>
      </c>
      <c r="Z34" s="491" t="s">
        <v>309</v>
      </c>
      <c r="AA34" s="484">
        <v>5782</v>
      </c>
      <c r="AB34" s="484" t="s">
        <v>309</v>
      </c>
      <c r="AC34" s="493">
        <v>6355</v>
      </c>
      <c r="AD34" s="488" t="s">
        <v>309</v>
      </c>
      <c r="AE34" s="494">
        <v>7240</v>
      </c>
      <c r="AF34" s="492" t="s">
        <v>309</v>
      </c>
    </row>
    <row r="35" spans="1:32" ht="15">
      <c r="A35" s="482" t="s">
        <v>281</v>
      </c>
      <c r="B35" s="483"/>
      <c r="C35" s="484">
        <v>1209</v>
      </c>
      <c r="D35" s="491" t="s">
        <v>309</v>
      </c>
      <c r="E35" s="484">
        <v>1241</v>
      </c>
      <c r="F35" s="491" t="s">
        <v>309</v>
      </c>
      <c r="G35" s="484">
        <v>1272</v>
      </c>
      <c r="H35" s="484" t="s">
        <v>309</v>
      </c>
      <c r="I35" s="493">
        <v>1549</v>
      </c>
      <c r="J35" s="488" t="s">
        <v>309</v>
      </c>
      <c r="K35" s="494">
        <v>1556</v>
      </c>
      <c r="L35" s="484" t="s">
        <v>309</v>
      </c>
      <c r="M35" s="495">
        <v>1044</v>
      </c>
      <c r="N35" s="491" t="s">
        <v>309</v>
      </c>
      <c r="O35" s="484">
        <v>1016</v>
      </c>
      <c r="P35" s="491" t="s">
        <v>309</v>
      </c>
      <c r="Q35" s="484">
        <v>1011</v>
      </c>
      <c r="R35" s="491" t="s">
        <v>309</v>
      </c>
      <c r="S35" s="484">
        <v>1042</v>
      </c>
      <c r="T35" s="484" t="s">
        <v>309</v>
      </c>
      <c r="U35" s="493">
        <v>995</v>
      </c>
      <c r="V35" s="484" t="s">
        <v>309</v>
      </c>
      <c r="W35" s="495">
        <v>2253</v>
      </c>
      <c r="X35" s="491" t="s">
        <v>309</v>
      </c>
      <c r="Y35" s="484">
        <v>2257</v>
      </c>
      <c r="Z35" s="491" t="s">
        <v>309</v>
      </c>
      <c r="AA35" s="484">
        <v>2283</v>
      </c>
      <c r="AB35" s="484" t="s">
        <v>309</v>
      </c>
      <c r="AC35" s="493">
        <v>2591</v>
      </c>
      <c r="AD35" s="488" t="s">
        <v>309</v>
      </c>
      <c r="AE35" s="494">
        <v>2551</v>
      </c>
      <c r="AF35" s="492" t="s">
        <v>309</v>
      </c>
    </row>
    <row r="36" spans="1:32" ht="15">
      <c r="A36" s="482" t="s">
        <v>288</v>
      </c>
      <c r="B36" s="483"/>
      <c r="C36" s="484">
        <v>8114</v>
      </c>
      <c r="D36" s="491" t="s">
        <v>309</v>
      </c>
      <c r="E36" s="484">
        <v>8551</v>
      </c>
      <c r="F36" s="491" t="s">
        <v>309</v>
      </c>
      <c r="G36" s="484">
        <v>8901</v>
      </c>
      <c r="H36" s="484" t="s">
        <v>309</v>
      </c>
      <c r="I36" s="493">
        <v>8975</v>
      </c>
      <c r="J36" s="488" t="s">
        <v>309</v>
      </c>
      <c r="K36" s="494">
        <v>9070</v>
      </c>
      <c r="L36" s="484" t="s">
        <v>309</v>
      </c>
      <c r="M36" s="495">
        <v>6207</v>
      </c>
      <c r="N36" s="491" t="s">
        <v>309</v>
      </c>
      <c r="O36" s="484">
        <v>6580</v>
      </c>
      <c r="P36" s="491" t="s">
        <v>309</v>
      </c>
      <c r="Q36" s="484">
        <v>6938</v>
      </c>
      <c r="R36" s="491" t="s">
        <v>309</v>
      </c>
      <c r="S36" s="484">
        <v>7130</v>
      </c>
      <c r="T36" s="484" t="s">
        <v>309</v>
      </c>
      <c r="U36" s="493">
        <v>7220</v>
      </c>
      <c r="V36" s="484" t="s">
        <v>309</v>
      </c>
      <c r="W36" s="495">
        <v>14321</v>
      </c>
      <c r="X36" s="491" t="s">
        <v>309</v>
      </c>
      <c r="Y36" s="484">
        <v>15131</v>
      </c>
      <c r="Z36" s="491" t="s">
        <v>309</v>
      </c>
      <c r="AA36" s="484">
        <v>15839</v>
      </c>
      <c r="AB36" s="484" t="s">
        <v>309</v>
      </c>
      <c r="AC36" s="493">
        <v>16105</v>
      </c>
      <c r="AD36" s="488" t="s">
        <v>309</v>
      </c>
      <c r="AE36" s="494">
        <v>16290</v>
      </c>
      <c r="AF36" s="492" t="s">
        <v>309</v>
      </c>
    </row>
    <row r="37" spans="1:32" ht="15">
      <c r="A37" s="482" t="s">
        <v>1</v>
      </c>
      <c r="B37" s="483"/>
      <c r="C37" s="496">
        <v>57010</v>
      </c>
      <c r="D37" s="491" t="s">
        <v>309</v>
      </c>
      <c r="E37" s="484">
        <v>56840</v>
      </c>
      <c r="F37" s="484" t="s">
        <v>309</v>
      </c>
      <c r="G37" s="493">
        <v>60150</v>
      </c>
      <c r="H37" s="484" t="s">
        <v>309</v>
      </c>
      <c r="I37" s="493">
        <v>60550</v>
      </c>
      <c r="J37" s="484" t="s">
        <v>309</v>
      </c>
      <c r="K37" s="493">
        <v>60750</v>
      </c>
      <c r="L37" s="484" t="s">
        <v>309</v>
      </c>
      <c r="M37" s="495">
        <v>6290</v>
      </c>
      <c r="N37" s="491" t="s">
        <v>309</v>
      </c>
      <c r="O37" s="484">
        <v>6360</v>
      </c>
      <c r="P37" s="484" t="s">
        <v>309</v>
      </c>
      <c r="Q37" s="493">
        <v>6450</v>
      </c>
      <c r="R37" s="484" t="s">
        <v>309</v>
      </c>
      <c r="S37" s="494">
        <v>6550</v>
      </c>
      <c r="T37" s="484" t="s">
        <v>309</v>
      </c>
      <c r="U37" s="493">
        <v>6550</v>
      </c>
      <c r="V37" s="484" t="s">
        <v>309</v>
      </c>
      <c r="W37" s="495">
        <v>63300</v>
      </c>
      <c r="X37" s="491" t="s">
        <v>309</v>
      </c>
      <c r="Y37" s="484">
        <v>63200</v>
      </c>
      <c r="Z37" s="484" t="s">
        <v>309</v>
      </c>
      <c r="AA37" s="493">
        <v>66600</v>
      </c>
      <c r="AB37" s="484" t="s">
        <v>309</v>
      </c>
      <c r="AC37" s="493">
        <v>67100</v>
      </c>
      <c r="AD37" s="484" t="s">
        <v>309</v>
      </c>
      <c r="AE37" s="494">
        <v>67300</v>
      </c>
      <c r="AF37" s="492" t="s">
        <v>309</v>
      </c>
    </row>
    <row r="38" spans="1:32" ht="15">
      <c r="A38" s="482" t="s">
        <v>271</v>
      </c>
      <c r="B38" s="483"/>
      <c r="C38" s="484">
        <v>7611</v>
      </c>
      <c r="D38" s="491" t="s">
        <v>309</v>
      </c>
      <c r="E38" s="484">
        <v>4475</v>
      </c>
      <c r="F38" s="491" t="s">
        <v>309</v>
      </c>
      <c r="G38" s="484">
        <v>3500</v>
      </c>
      <c r="H38" s="484" t="s">
        <v>309</v>
      </c>
      <c r="I38" s="493">
        <v>4047</v>
      </c>
      <c r="J38" s="488" t="s">
        <v>309</v>
      </c>
      <c r="K38" s="494">
        <v>3700</v>
      </c>
      <c r="L38" s="484" t="s">
        <v>309</v>
      </c>
      <c r="M38" s="495">
        <v>1627</v>
      </c>
      <c r="N38" s="491" t="s">
        <v>309</v>
      </c>
      <c r="O38" s="484">
        <v>1187</v>
      </c>
      <c r="P38" s="484" t="s">
        <v>309</v>
      </c>
      <c r="Q38" s="493">
        <v>1057</v>
      </c>
      <c r="R38" s="484" t="s">
        <v>309</v>
      </c>
      <c r="S38" s="494">
        <v>1073</v>
      </c>
      <c r="T38" s="484" t="s">
        <v>309</v>
      </c>
      <c r="U38" s="493">
        <v>1000</v>
      </c>
      <c r="V38" s="484" t="s">
        <v>309</v>
      </c>
      <c r="W38" s="495">
        <v>9238</v>
      </c>
      <c r="X38" s="491" t="s">
        <v>309</v>
      </c>
      <c r="Y38" s="484">
        <v>5662</v>
      </c>
      <c r="Z38" s="491" t="s">
        <v>309</v>
      </c>
      <c r="AA38" s="484">
        <v>4557</v>
      </c>
      <c r="AB38" s="484" t="s">
        <v>309</v>
      </c>
      <c r="AC38" s="493">
        <v>5120</v>
      </c>
      <c r="AD38" s="488" t="s">
        <v>309</v>
      </c>
      <c r="AE38" s="494">
        <v>4700</v>
      </c>
      <c r="AF38" s="492" t="s">
        <v>309</v>
      </c>
    </row>
    <row r="39" spans="1:32" ht="15">
      <c r="A39" s="482" t="s">
        <v>320</v>
      </c>
      <c r="B39" s="483"/>
      <c r="C39" s="484">
        <v>71</v>
      </c>
      <c r="D39" s="491" t="s">
        <v>309</v>
      </c>
      <c r="E39" s="484">
        <v>46</v>
      </c>
      <c r="F39" s="491" t="s">
        <v>309</v>
      </c>
      <c r="G39" s="484">
        <v>44</v>
      </c>
      <c r="H39" s="484" t="s">
        <v>309</v>
      </c>
      <c r="I39" s="493">
        <v>48</v>
      </c>
      <c r="J39" s="488" t="s">
        <v>309</v>
      </c>
      <c r="K39" s="494">
        <v>63</v>
      </c>
      <c r="L39" s="484" t="s">
        <v>309</v>
      </c>
      <c r="M39" s="495">
        <v>981</v>
      </c>
      <c r="N39" s="491" t="s">
        <v>309</v>
      </c>
      <c r="O39" s="484">
        <v>694</v>
      </c>
      <c r="P39" s="491" t="s">
        <v>309</v>
      </c>
      <c r="Q39" s="484">
        <v>671</v>
      </c>
      <c r="R39" s="491" t="s">
        <v>309</v>
      </c>
      <c r="S39" s="484">
        <v>764</v>
      </c>
      <c r="T39" s="484" t="s">
        <v>309</v>
      </c>
      <c r="U39" s="493">
        <v>768</v>
      </c>
      <c r="V39" s="484" t="s">
        <v>309</v>
      </c>
      <c r="W39" s="495">
        <v>1052</v>
      </c>
      <c r="X39" s="491" t="s">
        <v>309</v>
      </c>
      <c r="Y39" s="484">
        <v>740</v>
      </c>
      <c r="Z39" s="491" t="s">
        <v>309</v>
      </c>
      <c r="AA39" s="484">
        <v>715</v>
      </c>
      <c r="AB39" s="484" t="s">
        <v>309</v>
      </c>
      <c r="AC39" s="493">
        <v>812</v>
      </c>
      <c r="AD39" s="488" t="s">
        <v>309</v>
      </c>
      <c r="AE39" s="494">
        <v>831</v>
      </c>
      <c r="AF39" s="492" t="s">
        <v>309</v>
      </c>
    </row>
    <row r="40" spans="1:32" ht="15">
      <c r="A40" s="482" t="s">
        <v>321</v>
      </c>
      <c r="B40" s="483"/>
      <c r="C40" s="484">
        <v>7175.5</v>
      </c>
      <c r="D40" s="491" t="s">
        <v>309</v>
      </c>
      <c r="E40" s="484">
        <v>6581.8</v>
      </c>
      <c r="F40" s="491" t="s">
        <v>309</v>
      </c>
      <c r="G40" s="484">
        <v>7939</v>
      </c>
      <c r="H40" s="484" t="s">
        <v>309</v>
      </c>
      <c r="I40" s="493">
        <v>7350</v>
      </c>
      <c r="J40" s="488" t="s">
        <v>309</v>
      </c>
      <c r="K40" s="494">
        <v>8134</v>
      </c>
      <c r="L40" s="484" t="s">
        <v>309</v>
      </c>
      <c r="M40" s="495">
        <v>8763.8</v>
      </c>
      <c r="N40" s="491" t="s">
        <v>309</v>
      </c>
      <c r="O40" s="484">
        <v>8755.4</v>
      </c>
      <c r="P40" s="491" t="s">
        <v>309</v>
      </c>
      <c r="Q40" s="484">
        <v>8183</v>
      </c>
      <c r="R40" s="491" t="s">
        <v>309</v>
      </c>
      <c r="S40" s="484">
        <v>8460</v>
      </c>
      <c r="T40" s="484" t="s">
        <v>309</v>
      </c>
      <c r="U40" s="493">
        <v>8369</v>
      </c>
      <c r="V40" s="484" t="s">
        <v>309</v>
      </c>
      <c r="W40" s="495">
        <v>15939.3</v>
      </c>
      <c r="X40" s="491" t="s">
        <v>309</v>
      </c>
      <c r="Y40" s="484">
        <v>15337.2</v>
      </c>
      <c r="Z40" s="491" t="s">
        <v>309</v>
      </c>
      <c r="AA40" s="484">
        <v>16122</v>
      </c>
      <c r="AB40" s="484" t="s">
        <v>309</v>
      </c>
      <c r="AC40" s="493">
        <v>15810</v>
      </c>
      <c r="AD40" s="488" t="s">
        <v>309</v>
      </c>
      <c r="AE40" s="494">
        <v>16503</v>
      </c>
      <c r="AF40" s="492" t="s">
        <v>309</v>
      </c>
    </row>
    <row r="41" spans="1:32" ht="15">
      <c r="A41" s="482" t="s">
        <v>199</v>
      </c>
      <c r="B41" s="483"/>
      <c r="C41" s="484">
        <v>7237</v>
      </c>
      <c r="D41" s="491" t="s">
        <v>309</v>
      </c>
      <c r="E41" s="484">
        <v>7364</v>
      </c>
      <c r="F41" s="491" t="s">
        <v>309</v>
      </c>
      <c r="G41" s="484">
        <v>7258</v>
      </c>
      <c r="H41" s="484" t="s">
        <v>309</v>
      </c>
      <c r="I41" s="493">
        <v>7581</v>
      </c>
      <c r="J41" s="488" t="s">
        <v>309</v>
      </c>
      <c r="K41" s="494">
        <v>7823</v>
      </c>
      <c r="L41" s="484" t="s">
        <v>309</v>
      </c>
      <c r="M41" s="495">
        <v>574</v>
      </c>
      <c r="N41" s="491" t="s">
        <v>309</v>
      </c>
      <c r="O41" s="484">
        <v>562</v>
      </c>
      <c r="P41" s="491" t="s">
        <v>309</v>
      </c>
      <c r="Q41" s="484">
        <v>544</v>
      </c>
      <c r="R41" s="491" t="s">
        <v>309</v>
      </c>
      <c r="S41" s="484">
        <v>494</v>
      </c>
      <c r="T41" s="484" t="s">
        <v>309</v>
      </c>
      <c r="U41" s="493">
        <v>450</v>
      </c>
      <c r="V41" s="484" t="s">
        <v>309</v>
      </c>
      <c r="W41" s="495">
        <v>7811</v>
      </c>
      <c r="X41" s="491" t="s">
        <v>309</v>
      </c>
      <c r="Y41" s="484">
        <v>7926</v>
      </c>
      <c r="Z41" s="491" t="s">
        <v>309</v>
      </c>
      <c r="AA41" s="484">
        <v>7802</v>
      </c>
      <c r="AB41" s="484" t="s">
        <v>309</v>
      </c>
      <c r="AC41" s="493">
        <v>8075</v>
      </c>
      <c r="AD41" s="488" t="s">
        <v>309</v>
      </c>
      <c r="AE41" s="494">
        <v>8273</v>
      </c>
      <c r="AF41" s="492" t="s">
        <v>309</v>
      </c>
    </row>
    <row r="42" spans="1:32" ht="15.75">
      <c r="A42" s="497" t="s">
        <v>322</v>
      </c>
      <c r="B42" s="498"/>
      <c r="C42" s="499">
        <v>273435.66</v>
      </c>
      <c r="D42" s="500" t="s">
        <v>309</v>
      </c>
      <c r="E42" s="499">
        <v>248287.65</v>
      </c>
      <c r="F42" s="500" t="s">
        <v>309</v>
      </c>
      <c r="G42" s="499">
        <v>257613.33</v>
      </c>
      <c r="H42" s="499" t="s">
        <v>309</v>
      </c>
      <c r="I42" s="501">
        <v>269140.34</v>
      </c>
      <c r="J42" s="499" t="s">
        <v>309</v>
      </c>
      <c r="K42" s="502">
        <v>276912</v>
      </c>
      <c r="L42" s="499" t="s">
        <v>309</v>
      </c>
      <c r="M42" s="503">
        <v>96429.51</v>
      </c>
      <c r="N42" s="500" t="s">
        <v>309</v>
      </c>
      <c r="O42" s="499">
        <v>93343.63</v>
      </c>
      <c r="P42" s="500" t="s">
        <v>309</v>
      </c>
      <c r="Q42" s="499">
        <v>91522.06</v>
      </c>
      <c r="R42" s="500" t="s">
        <v>309</v>
      </c>
      <c r="S42" s="499">
        <v>97334.85</v>
      </c>
      <c r="T42" s="499" t="s">
        <v>309</v>
      </c>
      <c r="U42" s="501">
        <v>99688.58</v>
      </c>
      <c r="V42" s="499" t="s">
        <v>309</v>
      </c>
      <c r="W42" s="503">
        <v>369865.17</v>
      </c>
      <c r="X42" s="500" t="s">
        <v>309</v>
      </c>
      <c r="Y42" s="499">
        <v>341631.28</v>
      </c>
      <c r="Z42" s="500" t="s">
        <v>309</v>
      </c>
      <c r="AA42" s="499">
        <v>349135.4</v>
      </c>
      <c r="AB42" s="499" t="s">
        <v>309</v>
      </c>
      <c r="AC42" s="501">
        <v>366475.2</v>
      </c>
      <c r="AD42" s="499" t="s">
        <v>309</v>
      </c>
      <c r="AE42" s="502">
        <v>376600.59</v>
      </c>
      <c r="AF42" s="504" t="s">
        <v>309</v>
      </c>
    </row>
    <row r="43" spans="1:32" ht="15.75">
      <c r="A43" s="505" t="s">
        <v>323</v>
      </c>
      <c r="B43" s="498"/>
      <c r="C43" s="499">
        <v>305720.53</v>
      </c>
      <c r="D43" s="500" t="s">
        <v>309</v>
      </c>
      <c r="E43" s="499">
        <v>276621.42</v>
      </c>
      <c r="F43" s="500" t="s">
        <v>309</v>
      </c>
      <c r="G43" s="499">
        <v>288225.52</v>
      </c>
      <c r="H43" s="499" t="s">
        <v>309</v>
      </c>
      <c r="I43" s="501">
        <v>299159.07</v>
      </c>
      <c r="J43" s="499" t="s">
        <v>309</v>
      </c>
      <c r="K43" s="502">
        <v>307251.8</v>
      </c>
      <c r="L43" s="499" t="s">
        <v>309</v>
      </c>
      <c r="M43" s="503">
        <v>128318.96</v>
      </c>
      <c r="N43" s="500" t="s">
        <v>309</v>
      </c>
      <c r="O43" s="499">
        <v>122245.36</v>
      </c>
      <c r="P43" s="500" t="s">
        <v>309</v>
      </c>
      <c r="Q43" s="499">
        <v>122097.32</v>
      </c>
      <c r="R43" s="500" t="s">
        <v>309</v>
      </c>
      <c r="S43" s="499">
        <v>129071.54</v>
      </c>
      <c r="T43" s="499" t="s">
        <v>309</v>
      </c>
      <c r="U43" s="501">
        <v>132472.04</v>
      </c>
      <c r="V43" s="499" t="s">
        <v>309</v>
      </c>
      <c r="W43" s="503">
        <v>434039.49</v>
      </c>
      <c r="X43" s="500" t="s">
        <v>309</v>
      </c>
      <c r="Y43" s="499">
        <v>398866.78</v>
      </c>
      <c r="Z43" s="500" t="s">
        <v>309</v>
      </c>
      <c r="AA43" s="499">
        <v>410322.84</v>
      </c>
      <c r="AB43" s="499" t="s">
        <v>309</v>
      </c>
      <c r="AC43" s="501">
        <v>428230.61</v>
      </c>
      <c r="AD43" s="499" t="s">
        <v>309</v>
      </c>
      <c r="AE43" s="502">
        <v>439723.84</v>
      </c>
      <c r="AF43" s="504" t="s">
        <v>309</v>
      </c>
    </row>
    <row r="44" spans="1:32" ht="15.75">
      <c r="A44" s="768" t="s">
        <v>398</v>
      </c>
      <c r="B44" s="769"/>
      <c r="C44" s="770">
        <f>C7+C13+C16+C17+C18+C26+C28+C29+C35+C37+C38+C41</f>
        <v>226066.83</v>
      </c>
      <c r="D44" s="770" t="e">
        <f aca="true" t="shared" si="0" ref="D44:AE44">D7+D13+D16+D17+D18+D26+D28+D29+D35+D37+D38+D41</f>
        <v>#VALUE!</v>
      </c>
      <c r="E44" s="770">
        <f t="shared" si="0"/>
        <v>203364.37</v>
      </c>
      <c r="F44" s="770" t="e">
        <f t="shared" si="0"/>
        <v>#VALUE!</v>
      </c>
      <c r="G44" s="770">
        <f t="shared" si="0"/>
        <v>209340.39</v>
      </c>
      <c r="H44" s="770" t="e">
        <f t="shared" si="0"/>
        <v>#VALUE!</v>
      </c>
      <c r="I44" s="770">
        <f t="shared" si="0"/>
        <v>219105.93</v>
      </c>
      <c r="J44" s="770" t="e">
        <f t="shared" si="0"/>
        <v>#VALUE!</v>
      </c>
      <c r="K44" s="770">
        <f t="shared" si="0"/>
        <v>224381.24</v>
      </c>
      <c r="L44" s="770" t="e">
        <f t="shared" si="0"/>
        <v>#VALUE!</v>
      </c>
      <c r="M44" s="770">
        <f t="shared" si="0"/>
        <v>52747.29</v>
      </c>
      <c r="N44" s="770" t="e">
        <f t="shared" si="0"/>
        <v>#VALUE!</v>
      </c>
      <c r="O44" s="770">
        <f t="shared" si="0"/>
        <v>50606.97</v>
      </c>
      <c r="P44" s="770" t="e">
        <f t="shared" si="0"/>
        <v>#VALUE!</v>
      </c>
      <c r="Q44" s="770">
        <f t="shared" si="0"/>
        <v>47734.2</v>
      </c>
      <c r="R44" s="770" t="e">
        <f t="shared" si="0"/>
        <v>#VALUE!</v>
      </c>
      <c r="S44" s="770">
        <f t="shared" si="0"/>
        <v>49381.23</v>
      </c>
      <c r="T44" s="770" t="e">
        <f t="shared" si="0"/>
        <v>#VALUE!</v>
      </c>
      <c r="U44" s="770">
        <f t="shared" si="0"/>
        <v>49705.42</v>
      </c>
      <c r="V44" s="770" t="e">
        <f t="shared" si="0"/>
        <v>#VALUE!</v>
      </c>
      <c r="W44" s="770">
        <f t="shared" si="0"/>
        <v>278814.12</v>
      </c>
      <c r="X44" s="770" t="e">
        <f t="shared" si="0"/>
        <v>#VALUE!</v>
      </c>
      <c r="Y44" s="770">
        <f t="shared" si="0"/>
        <v>253971.34</v>
      </c>
      <c r="Z44" s="770" t="e">
        <f t="shared" si="0"/>
        <v>#VALUE!</v>
      </c>
      <c r="AA44" s="770">
        <f t="shared" si="0"/>
        <v>257074.59</v>
      </c>
      <c r="AB44" s="770" t="e">
        <f t="shared" si="0"/>
        <v>#VALUE!</v>
      </c>
      <c r="AC44" s="770">
        <f t="shared" si="0"/>
        <v>268487.16000000003</v>
      </c>
      <c r="AD44" s="770" t="e">
        <f t="shared" si="0"/>
        <v>#VALUE!</v>
      </c>
      <c r="AE44" s="770">
        <f t="shared" si="0"/>
        <v>274086.66000000003</v>
      </c>
      <c r="AF44" s="771"/>
    </row>
    <row r="45" spans="1:32" s="514" customFormat="1" ht="15.75">
      <c r="A45" s="772" t="s">
        <v>405</v>
      </c>
      <c r="B45" s="773"/>
      <c r="C45" s="774">
        <f aca="true" t="shared" si="1" ref="C45:AD45">C44/C42</f>
        <v>0.8267642559862163</v>
      </c>
      <c r="D45" s="774" t="e">
        <f t="shared" si="1"/>
        <v>#VALUE!</v>
      </c>
      <c r="E45" s="774">
        <f t="shared" si="1"/>
        <v>0.8190676016306087</v>
      </c>
      <c r="F45" s="774" t="e">
        <f t="shared" si="1"/>
        <v>#VALUE!</v>
      </c>
      <c r="G45" s="774">
        <f t="shared" si="1"/>
        <v>0.8126147431889492</v>
      </c>
      <c r="H45" s="774" t="e">
        <f t="shared" si="1"/>
        <v>#VALUE!</v>
      </c>
      <c r="I45" s="774">
        <f t="shared" si="1"/>
        <v>0.8140954640987671</v>
      </c>
      <c r="J45" s="774" t="e">
        <f t="shared" si="1"/>
        <v>#VALUE!</v>
      </c>
      <c r="K45" s="774">
        <f t="shared" si="1"/>
        <v>0.8102980008089212</v>
      </c>
      <c r="L45" s="774" t="e">
        <f t="shared" si="1"/>
        <v>#VALUE!</v>
      </c>
      <c r="M45" s="774">
        <f t="shared" si="1"/>
        <v>0.5470036091648708</v>
      </c>
      <c r="N45" s="774" t="e">
        <f t="shared" si="1"/>
        <v>#VALUE!</v>
      </c>
      <c r="O45" s="774">
        <f t="shared" si="1"/>
        <v>0.542157724099652</v>
      </c>
      <c r="P45" s="774" t="e">
        <f t="shared" si="1"/>
        <v>#VALUE!</v>
      </c>
      <c r="Q45" s="774">
        <f t="shared" si="1"/>
        <v>0.5215595016108684</v>
      </c>
      <c r="R45" s="774" t="e">
        <f t="shared" si="1"/>
        <v>#VALUE!</v>
      </c>
      <c r="S45" s="774">
        <f t="shared" si="1"/>
        <v>0.5073334987417149</v>
      </c>
      <c r="T45" s="774" t="e">
        <f t="shared" si="1"/>
        <v>#VALUE!</v>
      </c>
      <c r="U45" s="774">
        <f t="shared" si="1"/>
        <v>0.4986069618004389</v>
      </c>
      <c r="V45" s="774" t="e">
        <f t="shared" si="1"/>
        <v>#VALUE!</v>
      </c>
      <c r="W45" s="774">
        <f t="shared" si="1"/>
        <v>0.7538263740811281</v>
      </c>
      <c r="X45" s="774" t="e">
        <f t="shared" si="1"/>
        <v>#VALUE!</v>
      </c>
      <c r="Y45" s="774">
        <f t="shared" si="1"/>
        <v>0.7434077465037744</v>
      </c>
      <c r="Z45" s="774" t="e">
        <f t="shared" si="1"/>
        <v>#VALUE!</v>
      </c>
      <c r="AA45" s="774">
        <f t="shared" si="1"/>
        <v>0.7363177437750511</v>
      </c>
      <c r="AB45" s="774" t="e">
        <f t="shared" si="1"/>
        <v>#VALUE!</v>
      </c>
      <c r="AC45" s="774">
        <f t="shared" si="1"/>
        <v>0.7326202700755741</v>
      </c>
      <c r="AD45" s="774" t="e">
        <f t="shared" si="1"/>
        <v>#VALUE!</v>
      </c>
      <c r="AE45" s="774">
        <f>AE44/AE42</f>
        <v>0.7277913717554186</v>
      </c>
      <c r="AF45" s="775"/>
    </row>
    <row r="46" spans="1:32" ht="15">
      <c r="A46" s="482" t="s">
        <v>324</v>
      </c>
      <c r="B46" s="483"/>
      <c r="C46" s="484" t="s">
        <v>279</v>
      </c>
      <c r="D46" s="491" t="s">
        <v>309</v>
      </c>
      <c r="E46" s="484" t="s">
        <v>279</v>
      </c>
      <c r="F46" s="491" t="s">
        <v>309</v>
      </c>
      <c r="G46" s="484" t="s">
        <v>279</v>
      </c>
      <c r="H46" s="484" t="s">
        <v>309</v>
      </c>
      <c r="I46" s="493" t="s">
        <v>279</v>
      </c>
      <c r="J46" s="488" t="s">
        <v>309</v>
      </c>
      <c r="K46" s="494" t="s">
        <v>279</v>
      </c>
      <c r="L46" s="484" t="s">
        <v>309</v>
      </c>
      <c r="M46" s="495">
        <v>57.4</v>
      </c>
      <c r="N46" s="491" t="s">
        <v>309</v>
      </c>
      <c r="O46" s="484">
        <v>49</v>
      </c>
      <c r="P46" s="491" t="s">
        <v>309</v>
      </c>
      <c r="Q46" s="484">
        <v>54</v>
      </c>
      <c r="R46" s="491" t="s">
        <v>309</v>
      </c>
      <c r="S46" s="484">
        <v>66</v>
      </c>
      <c r="T46" s="484" t="s">
        <v>309</v>
      </c>
      <c r="U46" s="493">
        <v>68</v>
      </c>
      <c r="V46" s="484" t="s">
        <v>309</v>
      </c>
      <c r="W46" s="495">
        <v>57.4</v>
      </c>
      <c r="X46" s="491" t="s">
        <v>309</v>
      </c>
      <c r="Y46" s="484">
        <v>49</v>
      </c>
      <c r="Z46" s="491" t="s">
        <v>309</v>
      </c>
      <c r="AA46" s="484">
        <v>54</v>
      </c>
      <c r="AB46" s="484" t="s">
        <v>309</v>
      </c>
      <c r="AC46" s="493">
        <v>66</v>
      </c>
      <c r="AD46" s="488" t="s">
        <v>309</v>
      </c>
      <c r="AE46" s="494">
        <v>68</v>
      </c>
      <c r="AF46" s="492" t="s">
        <v>309</v>
      </c>
    </row>
    <row r="47" spans="1:32" ht="15">
      <c r="A47" s="482" t="s">
        <v>325</v>
      </c>
      <c r="B47" s="483"/>
      <c r="C47" s="484">
        <v>6.75</v>
      </c>
      <c r="D47" s="491" t="s">
        <v>309</v>
      </c>
      <c r="E47" s="484">
        <v>6.75</v>
      </c>
      <c r="F47" s="491" t="s">
        <v>309</v>
      </c>
      <c r="G47" s="484">
        <v>6.75</v>
      </c>
      <c r="H47" s="484" t="s">
        <v>309</v>
      </c>
      <c r="I47" s="493">
        <v>6.75</v>
      </c>
      <c r="J47" s="488" t="s">
        <v>309</v>
      </c>
      <c r="K47" s="494">
        <v>6.75</v>
      </c>
      <c r="L47" s="484" t="s">
        <v>309</v>
      </c>
      <c r="M47" s="495">
        <v>6.75</v>
      </c>
      <c r="N47" s="491" t="s">
        <v>309</v>
      </c>
      <c r="O47" s="484">
        <v>6.75</v>
      </c>
      <c r="P47" s="491" t="s">
        <v>309</v>
      </c>
      <c r="Q47" s="484">
        <v>6.75</v>
      </c>
      <c r="R47" s="491" t="s">
        <v>309</v>
      </c>
      <c r="S47" s="484">
        <v>6.75</v>
      </c>
      <c r="T47" s="484" t="s">
        <v>309</v>
      </c>
      <c r="U47" s="493">
        <v>6.75</v>
      </c>
      <c r="V47" s="484" t="s">
        <v>309</v>
      </c>
      <c r="W47" s="495">
        <v>13.5</v>
      </c>
      <c r="X47" s="491" t="s">
        <v>309</v>
      </c>
      <c r="Y47" s="484">
        <v>13.5</v>
      </c>
      <c r="Z47" s="491" t="s">
        <v>309</v>
      </c>
      <c r="AA47" s="484">
        <v>13.5</v>
      </c>
      <c r="AB47" s="484" t="s">
        <v>309</v>
      </c>
      <c r="AC47" s="493">
        <v>13.5</v>
      </c>
      <c r="AD47" s="488" t="s">
        <v>309</v>
      </c>
      <c r="AE47" s="494">
        <v>13.5</v>
      </c>
      <c r="AF47" s="492" t="s">
        <v>309</v>
      </c>
    </row>
    <row r="48" spans="1:32" ht="15">
      <c r="A48" s="482" t="s">
        <v>326</v>
      </c>
      <c r="B48" s="483"/>
      <c r="C48" s="484">
        <v>3382</v>
      </c>
      <c r="D48" s="491" t="s">
        <v>309</v>
      </c>
      <c r="E48" s="484">
        <v>3665</v>
      </c>
      <c r="F48" s="491" t="s">
        <v>309</v>
      </c>
      <c r="G48" s="484">
        <v>3958</v>
      </c>
      <c r="H48" s="484" t="s">
        <v>309</v>
      </c>
      <c r="I48" s="493">
        <v>5730.4</v>
      </c>
      <c r="J48" s="488" t="s">
        <v>309</v>
      </c>
      <c r="K48" s="494">
        <v>5730.4</v>
      </c>
      <c r="L48" s="484" t="s">
        <v>309</v>
      </c>
      <c r="M48" s="495">
        <v>2753.8</v>
      </c>
      <c r="N48" s="491" t="s">
        <v>309</v>
      </c>
      <c r="O48" s="484">
        <v>2820</v>
      </c>
      <c r="P48" s="491" t="s">
        <v>309</v>
      </c>
      <c r="Q48" s="484">
        <v>2989</v>
      </c>
      <c r="R48" s="491" t="s">
        <v>309</v>
      </c>
      <c r="S48" s="484">
        <v>1812.4</v>
      </c>
      <c r="T48" s="484" t="s">
        <v>309</v>
      </c>
      <c r="U48" s="493">
        <v>1812.4</v>
      </c>
      <c r="V48" s="484" t="s">
        <v>309</v>
      </c>
      <c r="W48" s="495">
        <v>6135.8</v>
      </c>
      <c r="X48" s="491" t="s">
        <v>309</v>
      </c>
      <c r="Y48" s="484">
        <v>6485</v>
      </c>
      <c r="Z48" s="491" t="s">
        <v>309</v>
      </c>
      <c r="AA48" s="484">
        <v>6947</v>
      </c>
      <c r="AB48" s="484" t="s">
        <v>309</v>
      </c>
      <c r="AC48" s="493">
        <v>7542.8</v>
      </c>
      <c r="AD48" s="488" t="s">
        <v>309</v>
      </c>
      <c r="AE48" s="494">
        <v>7542.8</v>
      </c>
      <c r="AF48" s="492" t="s">
        <v>309</v>
      </c>
    </row>
    <row r="49" spans="1:32" ht="15">
      <c r="A49" s="482" t="s">
        <v>328</v>
      </c>
      <c r="B49" s="483"/>
      <c r="C49" s="484">
        <v>526.5</v>
      </c>
      <c r="D49" s="491" t="s">
        <v>309</v>
      </c>
      <c r="E49" s="484">
        <v>655</v>
      </c>
      <c r="F49" s="491" t="s">
        <v>309</v>
      </c>
      <c r="G49" s="484">
        <v>399.16</v>
      </c>
      <c r="H49" s="484" t="s">
        <v>309</v>
      </c>
      <c r="I49" s="493">
        <v>247.31</v>
      </c>
      <c r="J49" s="488" t="s">
        <v>309</v>
      </c>
      <c r="K49" s="494">
        <v>247.31</v>
      </c>
      <c r="L49" s="484" t="s">
        <v>309</v>
      </c>
      <c r="M49" s="495">
        <v>118.9</v>
      </c>
      <c r="N49" s="491" t="s">
        <v>309</v>
      </c>
      <c r="O49" s="484">
        <v>90.9</v>
      </c>
      <c r="P49" s="491" t="s">
        <v>309</v>
      </c>
      <c r="Q49" s="484">
        <v>94.04</v>
      </c>
      <c r="R49" s="491" t="s">
        <v>309</v>
      </c>
      <c r="S49" s="484">
        <v>53.49</v>
      </c>
      <c r="T49" s="484" t="s">
        <v>309</v>
      </c>
      <c r="U49" s="493">
        <v>53.49</v>
      </c>
      <c r="V49" s="484" t="s">
        <v>309</v>
      </c>
      <c r="W49" s="495">
        <v>645.4</v>
      </c>
      <c r="X49" s="491" t="s">
        <v>309</v>
      </c>
      <c r="Y49" s="484">
        <v>745.9</v>
      </c>
      <c r="Z49" s="491" t="s">
        <v>309</v>
      </c>
      <c r="AA49" s="484">
        <v>493.2</v>
      </c>
      <c r="AB49" s="484" t="s">
        <v>309</v>
      </c>
      <c r="AC49" s="493">
        <v>300.8</v>
      </c>
      <c r="AD49" s="488" t="s">
        <v>309</v>
      </c>
      <c r="AE49" s="494">
        <v>300.8</v>
      </c>
      <c r="AF49" s="492" t="s">
        <v>309</v>
      </c>
    </row>
    <row r="50" spans="1:32" ht="15">
      <c r="A50" s="482" t="s">
        <v>329</v>
      </c>
      <c r="B50" s="483"/>
      <c r="C50" s="484">
        <v>13.91</v>
      </c>
      <c r="D50" s="491" t="s">
        <v>309</v>
      </c>
      <c r="E50" s="484">
        <v>12.9</v>
      </c>
      <c r="F50" s="491" t="s">
        <v>309</v>
      </c>
      <c r="G50" s="484">
        <v>10.74</v>
      </c>
      <c r="H50" s="484" t="s">
        <v>309</v>
      </c>
      <c r="I50" s="493">
        <v>10.83</v>
      </c>
      <c r="J50" s="488" t="s">
        <v>309</v>
      </c>
      <c r="K50" s="494">
        <v>8.19</v>
      </c>
      <c r="L50" s="484" t="s">
        <v>309</v>
      </c>
      <c r="M50" s="495">
        <v>32.45</v>
      </c>
      <c r="N50" s="491" t="s">
        <v>309</v>
      </c>
      <c r="O50" s="484">
        <v>30.11</v>
      </c>
      <c r="P50" s="491" t="s">
        <v>309</v>
      </c>
      <c r="Q50" s="484">
        <v>25.06</v>
      </c>
      <c r="R50" s="491" t="s">
        <v>309</v>
      </c>
      <c r="S50" s="484">
        <v>25.27</v>
      </c>
      <c r="T50" s="484" t="s">
        <v>309</v>
      </c>
      <c r="U50" s="493">
        <v>19.11</v>
      </c>
      <c r="V50" s="484" t="s">
        <v>309</v>
      </c>
      <c r="W50" s="495">
        <v>46.35</v>
      </c>
      <c r="X50" s="491" t="s">
        <v>309</v>
      </c>
      <c r="Y50" s="484">
        <v>43.01</v>
      </c>
      <c r="Z50" s="491" t="s">
        <v>309</v>
      </c>
      <c r="AA50" s="484">
        <v>35.8</v>
      </c>
      <c r="AB50" s="484" t="s">
        <v>309</v>
      </c>
      <c r="AC50" s="493">
        <v>36.1</v>
      </c>
      <c r="AD50" s="488" t="s">
        <v>309</v>
      </c>
      <c r="AE50" s="494">
        <v>27.3</v>
      </c>
      <c r="AF50" s="492" t="s">
        <v>309</v>
      </c>
    </row>
    <row r="51" spans="1:32" ht="15">
      <c r="A51" s="482" t="s">
        <v>330</v>
      </c>
      <c r="B51" s="483"/>
      <c r="C51" s="484" t="s">
        <v>279</v>
      </c>
      <c r="D51" s="491" t="s">
        <v>309</v>
      </c>
      <c r="E51" s="484" t="s">
        <v>279</v>
      </c>
      <c r="F51" s="491" t="s">
        <v>309</v>
      </c>
      <c r="G51" s="484" t="s">
        <v>279</v>
      </c>
      <c r="H51" s="484" t="s">
        <v>309</v>
      </c>
      <c r="I51" s="493" t="s">
        <v>279</v>
      </c>
      <c r="J51" s="488" t="s">
        <v>309</v>
      </c>
      <c r="K51" s="494" t="s">
        <v>279</v>
      </c>
      <c r="L51" s="484" t="s">
        <v>309</v>
      </c>
      <c r="M51" s="495">
        <v>58.3</v>
      </c>
      <c r="N51" s="491" t="s">
        <v>309</v>
      </c>
      <c r="O51" s="484">
        <v>56.8</v>
      </c>
      <c r="P51" s="491" t="s">
        <v>309</v>
      </c>
      <c r="Q51" s="484">
        <v>56.8</v>
      </c>
      <c r="R51" s="491" t="s">
        <v>309</v>
      </c>
      <c r="S51" s="484">
        <v>56.8</v>
      </c>
      <c r="T51" s="484" t="s">
        <v>309</v>
      </c>
      <c r="U51" s="493">
        <v>56.8</v>
      </c>
      <c r="V51" s="484" t="s">
        <v>309</v>
      </c>
      <c r="W51" s="495">
        <v>58.3</v>
      </c>
      <c r="X51" s="491" t="s">
        <v>309</v>
      </c>
      <c r="Y51" s="484">
        <v>56.8</v>
      </c>
      <c r="Z51" s="491" t="s">
        <v>309</v>
      </c>
      <c r="AA51" s="484">
        <v>56.8</v>
      </c>
      <c r="AB51" s="484" t="s">
        <v>309</v>
      </c>
      <c r="AC51" s="493">
        <v>56.8</v>
      </c>
      <c r="AD51" s="488" t="s">
        <v>309</v>
      </c>
      <c r="AE51" s="494">
        <v>56.8</v>
      </c>
      <c r="AF51" s="492" t="s">
        <v>309</v>
      </c>
    </row>
    <row r="52" spans="1:32" ht="15">
      <c r="A52" s="482" t="s">
        <v>331</v>
      </c>
      <c r="B52" s="483"/>
      <c r="C52" s="484">
        <v>97000</v>
      </c>
      <c r="D52" s="491" t="s">
        <v>309</v>
      </c>
      <c r="E52" s="484">
        <v>99400</v>
      </c>
      <c r="F52" s="491" t="s">
        <v>309</v>
      </c>
      <c r="G52" s="484">
        <v>99800</v>
      </c>
      <c r="H52" s="484" t="s">
        <v>309</v>
      </c>
      <c r="I52" s="493">
        <v>110794</v>
      </c>
      <c r="J52" s="488" t="s">
        <v>309</v>
      </c>
      <c r="K52" s="494">
        <v>116213</v>
      </c>
      <c r="L52" s="484" t="s">
        <v>309</v>
      </c>
      <c r="M52" s="495">
        <v>61100</v>
      </c>
      <c r="N52" s="491" t="s">
        <v>309</v>
      </c>
      <c r="O52" s="484">
        <v>65300</v>
      </c>
      <c r="P52" s="491" t="s">
        <v>309</v>
      </c>
      <c r="Q52" s="484">
        <v>65200</v>
      </c>
      <c r="R52" s="491" t="s">
        <v>309</v>
      </c>
      <c r="S52" s="484">
        <v>63206</v>
      </c>
      <c r="T52" s="484" t="s">
        <v>309</v>
      </c>
      <c r="U52" s="493">
        <v>65787</v>
      </c>
      <c r="V52" s="484" t="s">
        <v>309</v>
      </c>
      <c r="W52" s="495">
        <v>158100</v>
      </c>
      <c r="X52" s="491" t="s">
        <v>309</v>
      </c>
      <c r="Y52" s="484">
        <v>164700</v>
      </c>
      <c r="Z52" s="491" t="s">
        <v>309</v>
      </c>
      <c r="AA52" s="484">
        <v>165000</v>
      </c>
      <c r="AB52" s="484" t="s">
        <v>309</v>
      </c>
      <c r="AC52" s="493">
        <v>174000</v>
      </c>
      <c r="AD52" s="488" t="s">
        <v>309</v>
      </c>
      <c r="AE52" s="494">
        <v>182000</v>
      </c>
      <c r="AF52" s="492" t="s">
        <v>309</v>
      </c>
    </row>
    <row r="53" spans="1:32" ht="15">
      <c r="A53" s="482" t="s">
        <v>378</v>
      </c>
      <c r="B53" s="483"/>
      <c r="C53" s="484">
        <v>0.1</v>
      </c>
      <c r="D53" s="491" t="s">
        <v>309</v>
      </c>
      <c r="E53" s="484">
        <v>0.13</v>
      </c>
      <c r="F53" s="491" t="s">
        <v>309</v>
      </c>
      <c r="G53" s="484">
        <v>0.17</v>
      </c>
      <c r="H53" s="484" t="s">
        <v>309</v>
      </c>
      <c r="I53" s="493">
        <v>0.17</v>
      </c>
      <c r="J53" s="488" t="s">
        <v>309</v>
      </c>
      <c r="K53" s="494">
        <v>0.17</v>
      </c>
      <c r="L53" s="484" t="s">
        <v>309</v>
      </c>
      <c r="M53" s="495">
        <v>2.4</v>
      </c>
      <c r="N53" s="491" t="s">
        <v>309</v>
      </c>
      <c r="O53" s="484">
        <v>2.38</v>
      </c>
      <c r="P53" s="491" t="s">
        <v>309</v>
      </c>
      <c r="Q53" s="484">
        <v>3.23</v>
      </c>
      <c r="R53" s="491" t="s">
        <v>309</v>
      </c>
      <c r="S53" s="484">
        <v>3.23</v>
      </c>
      <c r="T53" s="484" t="s">
        <v>309</v>
      </c>
      <c r="U53" s="493">
        <v>3.23</v>
      </c>
      <c r="V53" s="484" t="s">
        <v>309</v>
      </c>
      <c r="W53" s="495">
        <v>2.5</v>
      </c>
      <c r="X53" s="491" t="s">
        <v>309</v>
      </c>
      <c r="Y53" s="484">
        <v>2.5</v>
      </c>
      <c r="Z53" s="491" t="s">
        <v>309</v>
      </c>
      <c r="AA53" s="484">
        <v>3.4</v>
      </c>
      <c r="AB53" s="484" t="s">
        <v>309</v>
      </c>
      <c r="AC53" s="493">
        <v>3.4</v>
      </c>
      <c r="AD53" s="488" t="s">
        <v>309</v>
      </c>
      <c r="AE53" s="494">
        <v>3.4</v>
      </c>
      <c r="AF53" s="492" t="s">
        <v>309</v>
      </c>
    </row>
    <row r="54" spans="1:32" ht="15">
      <c r="A54" s="482" t="s">
        <v>332</v>
      </c>
      <c r="B54" s="483"/>
      <c r="C54" s="484">
        <v>5661.33</v>
      </c>
      <c r="D54" s="491" t="s">
        <v>309</v>
      </c>
      <c r="E54" s="484">
        <v>5679</v>
      </c>
      <c r="F54" s="491" t="s">
        <v>309</v>
      </c>
      <c r="G54" s="484">
        <v>5855.1</v>
      </c>
      <c r="H54" s="484" t="s">
        <v>309</v>
      </c>
      <c r="I54" s="493">
        <v>6464.7</v>
      </c>
      <c r="J54" s="488" t="s">
        <v>309</v>
      </c>
      <c r="K54" s="494">
        <v>7138.94</v>
      </c>
      <c r="L54" s="484" t="s">
        <v>309</v>
      </c>
      <c r="M54" s="495">
        <v>4198</v>
      </c>
      <c r="N54" s="491" t="s">
        <v>309</v>
      </c>
      <c r="O54" s="484">
        <v>4210</v>
      </c>
      <c r="P54" s="491" t="s">
        <v>309</v>
      </c>
      <c r="Q54" s="484">
        <v>6425</v>
      </c>
      <c r="R54" s="491" t="s">
        <v>309</v>
      </c>
      <c r="S54" s="484">
        <v>7289.2</v>
      </c>
      <c r="T54" s="484" t="s">
        <v>309</v>
      </c>
      <c r="U54" s="493">
        <v>7722.86</v>
      </c>
      <c r="V54" s="484" t="s">
        <v>309</v>
      </c>
      <c r="W54" s="495">
        <v>9859.33</v>
      </c>
      <c r="X54" s="491" t="s">
        <v>309</v>
      </c>
      <c r="Y54" s="484">
        <v>9889</v>
      </c>
      <c r="Z54" s="491" t="s">
        <v>309</v>
      </c>
      <c r="AA54" s="484">
        <v>12280.1</v>
      </c>
      <c r="AB54" s="484" t="s">
        <v>309</v>
      </c>
      <c r="AC54" s="493">
        <v>13753.9</v>
      </c>
      <c r="AD54" s="488" t="s">
        <v>309</v>
      </c>
      <c r="AE54" s="494">
        <v>14861.8</v>
      </c>
      <c r="AF54" s="492" t="s">
        <v>309</v>
      </c>
    </row>
    <row r="55" spans="1:32" ht="15">
      <c r="A55" s="482" t="s">
        <v>333</v>
      </c>
      <c r="B55" s="483"/>
      <c r="C55" s="484">
        <v>2.4</v>
      </c>
      <c r="D55" s="491" t="s">
        <v>309</v>
      </c>
      <c r="E55" s="484">
        <v>2.4</v>
      </c>
      <c r="F55" s="491" t="s">
        <v>309</v>
      </c>
      <c r="G55" s="484">
        <v>2</v>
      </c>
      <c r="H55" s="484" t="s">
        <v>309</v>
      </c>
      <c r="I55" s="493">
        <v>2</v>
      </c>
      <c r="J55" s="488" t="s">
        <v>309</v>
      </c>
      <c r="K55" s="494">
        <v>2</v>
      </c>
      <c r="L55" s="484" t="s">
        <v>309</v>
      </c>
      <c r="M55" s="495">
        <v>26.5</v>
      </c>
      <c r="N55" s="491" t="s">
        <v>309</v>
      </c>
      <c r="O55" s="484">
        <v>30.6</v>
      </c>
      <c r="P55" s="491" t="s">
        <v>309</v>
      </c>
      <c r="Q55" s="484">
        <v>30.1</v>
      </c>
      <c r="R55" s="491" t="s">
        <v>309</v>
      </c>
      <c r="S55" s="484">
        <v>26</v>
      </c>
      <c r="T55" s="484" t="s">
        <v>309</v>
      </c>
      <c r="U55" s="493">
        <v>24.7</v>
      </c>
      <c r="V55" s="484" t="s">
        <v>309</v>
      </c>
      <c r="W55" s="495">
        <v>28.9</v>
      </c>
      <c r="X55" s="491" t="s">
        <v>309</v>
      </c>
      <c r="Y55" s="484">
        <v>33</v>
      </c>
      <c r="Z55" s="491" t="s">
        <v>309</v>
      </c>
      <c r="AA55" s="484">
        <v>32.1</v>
      </c>
      <c r="AB55" s="484" t="s">
        <v>309</v>
      </c>
      <c r="AC55" s="493">
        <v>28</v>
      </c>
      <c r="AD55" s="488" t="s">
        <v>309</v>
      </c>
      <c r="AE55" s="494">
        <v>26.7</v>
      </c>
      <c r="AF55" s="492" t="s">
        <v>309</v>
      </c>
    </row>
    <row r="56" spans="1:32" ht="15.75">
      <c r="A56" s="505" t="s">
        <v>334</v>
      </c>
      <c r="B56" s="498"/>
      <c r="C56" s="499">
        <v>106592.99</v>
      </c>
      <c r="D56" s="500" t="s">
        <v>309</v>
      </c>
      <c r="E56" s="499">
        <v>109421.17</v>
      </c>
      <c r="F56" s="500" t="s">
        <v>309</v>
      </c>
      <c r="G56" s="499">
        <v>110031.92</v>
      </c>
      <c r="H56" s="499" t="s">
        <v>309</v>
      </c>
      <c r="I56" s="501">
        <v>123256.16</v>
      </c>
      <c r="J56" s="499" t="s">
        <v>309</v>
      </c>
      <c r="K56" s="502">
        <v>129346.76</v>
      </c>
      <c r="L56" s="499" t="s">
        <v>309</v>
      </c>
      <c r="M56" s="503">
        <v>68354.49</v>
      </c>
      <c r="N56" s="500" t="s">
        <v>309</v>
      </c>
      <c r="O56" s="499">
        <v>72596.54</v>
      </c>
      <c r="P56" s="500" t="s">
        <v>309</v>
      </c>
      <c r="Q56" s="499">
        <v>74883.98</v>
      </c>
      <c r="R56" s="500" t="s">
        <v>309</v>
      </c>
      <c r="S56" s="499">
        <v>72545.14</v>
      </c>
      <c r="T56" s="499" t="s">
        <v>309</v>
      </c>
      <c r="U56" s="501">
        <v>75554.34</v>
      </c>
      <c r="V56" s="499" t="s">
        <v>309</v>
      </c>
      <c r="W56" s="503">
        <v>174947.48</v>
      </c>
      <c r="X56" s="500" t="s">
        <v>309</v>
      </c>
      <c r="Y56" s="499">
        <v>182017.71</v>
      </c>
      <c r="Z56" s="500" t="s">
        <v>309</v>
      </c>
      <c r="AA56" s="499">
        <v>184915.9</v>
      </c>
      <c r="AB56" s="499" t="s">
        <v>309</v>
      </c>
      <c r="AC56" s="501">
        <v>195801.3</v>
      </c>
      <c r="AD56" s="499" t="s">
        <v>309</v>
      </c>
      <c r="AE56" s="502">
        <v>204901.1</v>
      </c>
      <c r="AF56" s="504" t="s">
        <v>309</v>
      </c>
    </row>
    <row r="57" spans="1:32" ht="15">
      <c r="A57" s="482" t="s">
        <v>256</v>
      </c>
      <c r="B57" s="483"/>
      <c r="C57" s="484">
        <v>164001</v>
      </c>
      <c r="D57" s="491" t="s">
        <v>309</v>
      </c>
      <c r="E57" s="484">
        <v>152179</v>
      </c>
      <c r="F57" s="491" t="s">
        <v>309</v>
      </c>
      <c r="G57" s="484">
        <v>155793</v>
      </c>
      <c r="H57" s="484" t="s">
        <v>309</v>
      </c>
      <c r="I57" s="493">
        <v>154240</v>
      </c>
      <c r="J57" s="488" t="s">
        <v>309</v>
      </c>
      <c r="K57" s="494">
        <v>161925</v>
      </c>
      <c r="L57" s="484" t="s">
        <v>309</v>
      </c>
      <c r="M57" s="495">
        <v>37844</v>
      </c>
      <c r="N57" s="491" t="s">
        <v>309</v>
      </c>
      <c r="O57" s="484">
        <v>35418</v>
      </c>
      <c r="P57" s="491" t="s">
        <v>309</v>
      </c>
      <c r="Q57" s="484">
        <v>36302</v>
      </c>
      <c r="R57" s="491" t="s">
        <v>309</v>
      </c>
      <c r="S57" s="484">
        <v>35963</v>
      </c>
      <c r="T57" s="484" t="s">
        <v>309</v>
      </c>
      <c r="U57" s="493">
        <v>37643</v>
      </c>
      <c r="V57" s="484" t="s">
        <v>309</v>
      </c>
      <c r="W57" s="495">
        <v>201845</v>
      </c>
      <c r="X57" s="491" t="s">
        <v>309</v>
      </c>
      <c r="Y57" s="484">
        <v>187597</v>
      </c>
      <c r="Z57" s="491" t="s">
        <v>309</v>
      </c>
      <c r="AA57" s="484">
        <v>192095</v>
      </c>
      <c r="AB57" s="484" t="s">
        <v>309</v>
      </c>
      <c r="AC57" s="493">
        <v>190203</v>
      </c>
      <c r="AD57" s="488" t="s">
        <v>309</v>
      </c>
      <c r="AE57" s="494">
        <v>199568</v>
      </c>
      <c r="AF57" s="492" t="s">
        <v>309</v>
      </c>
    </row>
    <row r="58" spans="1:32" ht="15">
      <c r="A58" s="482" t="s">
        <v>379</v>
      </c>
      <c r="B58" s="483"/>
      <c r="C58" s="484">
        <v>291072</v>
      </c>
      <c r="D58" s="491" t="s">
        <v>309</v>
      </c>
      <c r="E58" s="484">
        <v>281198</v>
      </c>
      <c r="F58" s="491" t="s">
        <v>309</v>
      </c>
      <c r="G58" s="484">
        <v>283550</v>
      </c>
      <c r="H58" s="484" t="s">
        <v>309</v>
      </c>
      <c r="I58" s="493">
        <v>288664</v>
      </c>
      <c r="J58" s="488" t="s">
        <v>309</v>
      </c>
      <c r="K58" s="494">
        <v>293950.59</v>
      </c>
      <c r="L58" s="484" t="s">
        <v>309</v>
      </c>
      <c r="M58" s="495">
        <v>175477</v>
      </c>
      <c r="N58" s="491" t="s">
        <v>309</v>
      </c>
      <c r="O58" s="484">
        <v>167916</v>
      </c>
      <c r="P58" s="491" t="s">
        <v>309</v>
      </c>
      <c r="Q58" s="484">
        <v>164450</v>
      </c>
      <c r="R58" s="491" t="s">
        <v>309</v>
      </c>
      <c r="S58" s="484">
        <v>159849.25</v>
      </c>
      <c r="T58" s="484" t="s">
        <v>309</v>
      </c>
      <c r="U58" s="493">
        <v>164359.59</v>
      </c>
      <c r="V58" s="484" t="s">
        <v>309</v>
      </c>
      <c r="W58" s="495">
        <v>466549</v>
      </c>
      <c r="X58" s="491" t="s">
        <v>309</v>
      </c>
      <c r="Y58" s="484">
        <v>449114</v>
      </c>
      <c r="Z58" s="491" t="s">
        <v>309</v>
      </c>
      <c r="AA58" s="484">
        <v>448000</v>
      </c>
      <c r="AB58" s="484" t="s">
        <v>309</v>
      </c>
      <c r="AC58" s="493">
        <v>448513.26</v>
      </c>
      <c r="AD58" s="488" t="s">
        <v>309</v>
      </c>
      <c r="AE58" s="494">
        <v>458310.18</v>
      </c>
      <c r="AF58" s="492" t="s">
        <v>309</v>
      </c>
    </row>
    <row r="59" spans="1:32" ht="16.5" thickBot="1">
      <c r="A59" s="506" t="s">
        <v>335</v>
      </c>
      <c r="B59" s="507"/>
      <c r="C59" s="508">
        <v>455073</v>
      </c>
      <c r="D59" s="509" t="s">
        <v>309</v>
      </c>
      <c r="E59" s="508">
        <v>433377</v>
      </c>
      <c r="F59" s="509" t="s">
        <v>309</v>
      </c>
      <c r="G59" s="508">
        <v>439343</v>
      </c>
      <c r="H59" s="508" t="s">
        <v>309</v>
      </c>
      <c r="I59" s="510">
        <v>442904</v>
      </c>
      <c r="J59" s="508" t="s">
        <v>309</v>
      </c>
      <c r="K59" s="511">
        <v>455875.59</v>
      </c>
      <c r="L59" s="508" t="s">
        <v>309</v>
      </c>
      <c r="M59" s="512">
        <v>213321</v>
      </c>
      <c r="N59" s="509" t="s">
        <v>309</v>
      </c>
      <c r="O59" s="508">
        <v>203334</v>
      </c>
      <c r="P59" s="509" t="s">
        <v>309</v>
      </c>
      <c r="Q59" s="508">
        <v>200752</v>
      </c>
      <c r="R59" s="509" t="s">
        <v>309</v>
      </c>
      <c r="S59" s="508">
        <v>195812.25</v>
      </c>
      <c r="T59" s="508" t="s">
        <v>309</v>
      </c>
      <c r="U59" s="510">
        <v>202002.59</v>
      </c>
      <c r="V59" s="508" t="s">
        <v>309</v>
      </c>
      <c r="W59" s="512">
        <v>668394</v>
      </c>
      <c r="X59" s="509" t="s">
        <v>309</v>
      </c>
      <c r="Y59" s="508">
        <v>636711</v>
      </c>
      <c r="Z59" s="509" t="s">
        <v>309</v>
      </c>
      <c r="AA59" s="508">
        <v>640095</v>
      </c>
      <c r="AB59" s="508" t="s">
        <v>309</v>
      </c>
      <c r="AC59" s="510">
        <v>638716.26</v>
      </c>
      <c r="AD59" s="508" t="s">
        <v>309</v>
      </c>
      <c r="AE59" s="511">
        <v>657878.18</v>
      </c>
      <c r="AF59" s="513" t="s">
        <v>309</v>
      </c>
    </row>
    <row r="60" spans="1:32" ht="15.75" thickTop="1">
      <c r="A60" s="776" t="s">
        <v>406</v>
      </c>
      <c r="C60" s="250">
        <f>C59+C56+C43</f>
        <v>867386.52</v>
      </c>
      <c r="D60" s="250" t="e">
        <f aca="true" t="shared" si="2" ref="D60:AD60">D59+D56+D43</f>
        <v>#VALUE!</v>
      </c>
      <c r="E60" s="250">
        <f t="shared" si="2"/>
        <v>819419.5900000001</v>
      </c>
      <c r="F60" s="250" t="e">
        <f t="shared" si="2"/>
        <v>#VALUE!</v>
      </c>
      <c r="G60" s="250">
        <f t="shared" si="2"/>
        <v>837600.4400000001</v>
      </c>
      <c r="H60" s="250" t="e">
        <f t="shared" si="2"/>
        <v>#VALUE!</v>
      </c>
      <c r="I60" s="250">
        <f t="shared" si="2"/>
        <v>865319.23</v>
      </c>
      <c r="J60" s="250" t="e">
        <f t="shared" si="2"/>
        <v>#VALUE!</v>
      </c>
      <c r="K60" s="250">
        <f t="shared" si="2"/>
        <v>892474.1499999999</v>
      </c>
      <c r="L60" s="250" t="e">
        <f t="shared" si="2"/>
        <v>#VALUE!</v>
      </c>
      <c r="M60" s="250">
        <f t="shared" si="2"/>
        <v>409994.45</v>
      </c>
      <c r="N60" s="250" t="e">
        <f t="shared" si="2"/>
        <v>#VALUE!</v>
      </c>
      <c r="O60" s="250">
        <f t="shared" si="2"/>
        <v>398175.89999999997</v>
      </c>
      <c r="P60" s="250" t="e">
        <f t="shared" si="2"/>
        <v>#VALUE!</v>
      </c>
      <c r="Q60" s="250">
        <f t="shared" si="2"/>
        <v>397733.3</v>
      </c>
      <c r="R60" s="250" t="e">
        <f t="shared" si="2"/>
        <v>#VALUE!</v>
      </c>
      <c r="S60" s="250">
        <f t="shared" si="2"/>
        <v>397428.93</v>
      </c>
      <c r="T60" s="250" t="e">
        <f t="shared" si="2"/>
        <v>#VALUE!</v>
      </c>
      <c r="U60" s="250">
        <f t="shared" si="2"/>
        <v>410028.97</v>
      </c>
      <c r="V60" s="250" t="e">
        <f t="shared" si="2"/>
        <v>#VALUE!</v>
      </c>
      <c r="W60" s="250">
        <f t="shared" si="2"/>
        <v>1277380.97</v>
      </c>
      <c r="X60" s="250" t="e">
        <f t="shared" si="2"/>
        <v>#VALUE!</v>
      </c>
      <c r="Y60" s="250">
        <f t="shared" si="2"/>
        <v>1217595.49</v>
      </c>
      <c r="Z60" s="250" t="e">
        <f t="shared" si="2"/>
        <v>#VALUE!</v>
      </c>
      <c r="AA60" s="250">
        <f t="shared" si="2"/>
        <v>1235333.74</v>
      </c>
      <c r="AB60" s="250" t="e">
        <f t="shared" si="2"/>
        <v>#VALUE!</v>
      </c>
      <c r="AC60" s="250">
        <f t="shared" si="2"/>
        <v>1262748.17</v>
      </c>
      <c r="AD60" s="250" t="e">
        <f t="shared" si="2"/>
        <v>#VALUE!</v>
      </c>
      <c r="AE60" s="250">
        <f>AE59+AE56+AE43</f>
        <v>1302503.12</v>
      </c>
      <c r="AF60" s="250" t="e">
        <f>AF59+AF56+AF43</f>
        <v>#VALUE!</v>
      </c>
    </row>
    <row r="61" spans="29:31" ht="12.75">
      <c r="AC61" t="s">
        <v>404</v>
      </c>
      <c r="AE61" s="250">
        <f>AE59+AE56+AE43</f>
        <v>1302503.12</v>
      </c>
    </row>
    <row r="62" spans="29:31" ht="12.75">
      <c r="AC62" t="s">
        <v>403</v>
      </c>
      <c r="AE62" s="250">
        <f>AE59+AE44</f>
        <v>931964.8400000001</v>
      </c>
    </row>
    <row r="63" spans="29:31" ht="12.75">
      <c r="AC63" t="s">
        <v>402</v>
      </c>
      <c r="AE63" s="514">
        <f>AE62/AE61</f>
        <v>0.7155183167622662</v>
      </c>
    </row>
  </sheetData>
  <mergeCells count="1">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sheetPr>
    <tabColor indexed="12"/>
  </sheetPr>
  <dimension ref="A1:AF66"/>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2.28125" style="0" customWidth="1"/>
  </cols>
  <sheetData>
    <row r="1" spans="1:32" ht="18">
      <c r="A1" s="456" t="s">
        <v>373</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106</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374</v>
      </c>
      <c r="D3" s="462"/>
      <c r="E3" s="463"/>
      <c r="F3" s="463"/>
      <c r="G3" s="463"/>
      <c r="H3" s="463"/>
      <c r="I3" s="463"/>
      <c r="J3" s="463"/>
      <c r="K3" s="464"/>
      <c r="L3" s="463"/>
      <c r="M3" s="465" t="s">
        <v>305</v>
      </c>
      <c r="N3" s="463"/>
      <c r="O3" s="463"/>
      <c r="P3" s="463"/>
      <c r="Q3" s="463"/>
      <c r="R3" s="463"/>
      <c r="S3" s="463"/>
      <c r="T3" s="463"/>
      <c r="U3" s="464"/>
      <c r="V3" s="463"/>
      <c r="W3" s="465" t="s">
        <v>306</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375</v>
      </c>
      <c r="D5" s="477"/>
      <c r="E5" s="477"/>
      <c r="F5" s="477"/>
      <c r="G5" s="477"/>
      <c r="H5" s="477"/>
      <c r="I5" s="477"/>
      <c r="J5" s="477"/>
      <c r="K5" s="478"/>
      <c r="L5" s="466"/>
      <c r="M5" s="479" t="s">
        <v>376</v>
      </c>
      <c r="N5" s="480"/>
      <c r="O5" s="477"/>
      <c r="P5" s="477"/>
      <c r="Q5" s="477"/>
      <c r="R5" s="477"/>
      <c r="S5" s="477"/>
      <c r="T5" s="477"/>
      <c r="U5" s="478"/>
      <c r="V5" s="466"/>
      <c r="W5" s="479" t="s">
        <v>376</v>
      </c>
      <c r="X5" s="480"/>
      <c r="Y5" s="477"/>
      <c r="Z5" s="477"/>
      <c r="AA5" s="477"/>
      <c r="AB5" s="477"/>
      <c r="AC5" s="477"/>
      <c r="AD5" s="477"/>
      <c r="AE5" s="478"/>
      <c r="AF5" s="481"/>
    </row>
    <row r="6" spans="1:32" ht="15.75" thickTop="1">
      <c r="A6" s="482" t="s">
        <v>308</v>
      </c>
      <c r="B6" s="483"/>
      <c r="C6" s="484">
        <v>446.62</v>
      </c>
      <c r="D6" s="485" t="s">
        <v>309</v>
      </c>
      <c r="E6" s="484">
        <v>248.9</v>
      </c>
      <c r="F6" s="485" t="s">
        <v>309</v>
      </c>
      <c r="G6" s="484">
        <v>208.6</v>
      </c>
      <c r="H6" s="486" t="s">
        <v>309</v>
      </c>
      <c r="I6" s="487">
        <v>240.02</v>
      </c>
      <c r="J6" s="488" t="s">
        <v>309</v>
      </c>
      <c r="K6" s="489">
        <v>240.02</v>
      </c>
      <c r="L6" s="484" t="s">
        <v>309</v>
      </c>
      <c r="M6" s="490" t="s">
        <v>310</v>
      </c>
      <c r="N6" s="491" t="s">
        <v>106</v>
      </c>
      <c r="O6" s="484">
        <v>882.35</v>
      </c>
      <c r="P6" s="485" t="s">
        <v>309</v>
      </c>
      <c r="Q6" s="484">
        <v>35.5</v>
      </c>
      <c r="R6" s="485" t="s">
        <v>309</v>
      </c>
      <c r="S6" s="486">
        <v>68.7</v>
      </c>
      <c r="T6" s="486" t="s">
        <v>309</v>
      </c>
      <c r="U6" s="487">
        <v>68.7</v>
      </c>
      <c r="V6" s="484" t="s">
        <v>309</v>
      </c>
      <c r="W6" s="490" t="s">
        <v>310</v>
      </c>
      <c r="X6" s="491" t="s">
        <v>106</v>
      </c>
      <c r="Y6" s="484">
        <v>3341.23</v>
      </c>
      <c r="Z6" s="485" t="s">
        <v>309</v>
      </c>
      <c r="AA6" s="484">
        <v>1905.9</v>
      </c>
      <c r="AB6" s="486" t="s">
        <v>309</v>
      </c>
      <c r="AC6" s="487">
        <v>1193.11</v>
      </c>
      <c r="AD6" s="488" t="s">
        <v>309</v>
      </c>
      <c r="AE6" s="489">
        <v>1193.11</v>
      </c>
      <c r="AF6" s="492" t="s">
        <v>309</v>
      </c>
    </row>
    <row r="7" spans="1:32" ht="15">
      <c r="A7" s="482" t="s">
        <v>240</v>
      </c>
      <c r="B7" s="483"/>
      <c r="C7" s="484">
        <v>20924</v>
      </c>
      <c r="D7" s="491" t="s">
        <v>309</v>
      </c>
      <c r="E7" s="484">
        <v>20176</v>
      </c>
      <c r="F7" s="491" t="s">
        <v>309</v>
      </c>
      <c r="G7" s="484">
        <v>21405</v>
      </c>
      <c r="H7" s="484" t="s">
        <v>309</v>
      </c>
      <c r="I7" s="493">
        <v>23908</v>
      </c>
      <c r="J7" s="488" t="s">
        <v>309</v>
      </c>
      <c r="K7" s="494">
        <v>24514</v>
      </c>
      <c r="L7" s="484" t="s">
        <v>309</v>
      </c>
      <c r="M7" s="495">
        <v>440764.08</v>
      </c>
      <c r="N7" s="491" t="s">
        <v>309</v>
      </c>
      <c r="O7" s="484">
        <v>376535.32</v>
      </c>
      <c r="P7" s="491" t="s">
        <v>309</v>
      </c>
      <c r="Q7" s="484">
        <v>406317.7</v>
      </c>
      <c r="R7" s="491" t="s">
        <v>309</v>
      </c>
      <c r="S7" s="484">
        <v>480909.32</v>
      </c>
      <c r="T7" s="484" t="s">
        <v>309</v>
      </c>
      <c r="U7" s="493">
        <v>586054.78</v>
      </c>
      <c r="V7" s="484" t="s">
        <v>309</v>
      </c>
      <c r="W7" s="495">
        <v>69431.63</v>
      </c>
      <c r="X7" s="491" t="s">
        <v>309</v>
      </c>
      <c r="Y7" s="484">
        <v>68336.07</v>
      </c>
      <c r="Z7" s="491" t="s">
        <v>309</v>
      </c>
      <c r="AA7" s="484">
        <v>68974.9</v>
      </c>
      <c r="AB7" s="484" t="s">
        <v>309</v>
      </c>
      <c r="AC7" s="493">
        <v>77198.74</v>
      </c>
      <c r="AD7" s="488" t="s">
        <v>309</v>
      </c>
      <c r="AE7" s="494">
        <v>100127.73</v>
      </c>
      <c r="AF7" s="492" t="s">
        <v>309</v>
      </c>
    </row>
    <row r="8" spans="1:32" ht="15">
      <c r="A8" s="482" t="s">
        <v>311</v>
      </c>
      <c r="B8" s="483"/>
      <c r="C8" s="484">
        <v>7353</v>
      </c>
      <c r="D8" s="491" t="s">
        <v>309</v>
      </c>
      <c r="E8" s="484">
        <v>7719.34</v>
      </c>
      <c r="F8" s="491" t="s">
        <v>309</v>
      </c>
      <c r="G8" s="484">
        <v>6159.18</v>
      </c>
      <c r="H8" s="484" t="s">
        <v>309</v>
      </c>
      <c r="I8" s="493">
        <v>6315.38</v>
      </c>
      <c r="J8" s="488" t="s">
        <v>309</v>
      </c>
      <c r="K8" s="494">
        <v>6574.81</v>
      </c>
      <c r="L8" s="484" t="s">
        <v>309</v>
      </c>
      <c r="M8" s="495">
        <v>155646</v>
      </c>
      <c r="N8" s="491" t="s">
        <v>309</v>
      </c>
      <c r="O8" s="484">
        <v>126813.78</v>
      </c>
      <c r="P8" s="491" t="s">
        <v>309</v>
      </c>
      <c r="Q8" s="484">
        <v>97070.8</v>
      </c>
      <c r="R8" s="491" t="s">
        <v>309</v>
      </c>
      <c r="S8" s="484">
        <v>113939.43</v>
      </c>
      <c r="T8" s="484" t="s">
        <v>309</v>
      </c>
      <c r="U8" s="493">
        <v>142584.2</v>
      </c>
      <c r="V8" s="484" t="s">
        <v>309</v>
      </c>
      <c r="W8" s="495">
        <v>93976.3</v>
      </c>
      <c r="X8" s="491" t="s">
        <v>309</v>
      </c>
      <c r="Y8" s="484">
        <v>68494.28</v>
      </c>
      <c r="Z8" s="491" t="s">
        <v>309</v>
      </c>
      <c r="AA8" s="484">
        <v>66184.31</v>
      </c>
      <c r="AB8" s="484" t="s">
        <v>309</v>
      </c>
      <c r="AC8" s="493">
        <v>81935.16</v>
      </c>
      <c r="AD8" s="488" t="s">
        <v>309</v>
      </c>
      <c r="AE8" s="494">
        <v>94698.47</v>
      </c>
      <c r="AF8" s="492" t="s">
        <v>309</v>
      </c>
    </row>
    <row r="9" spans="1:32" ht="15">
      <c r="A9" s="482" t="s">
        <v>312</v>
      </c>
      <c r="B9" s="483"/>
      <c r="C9" s="484">
        <v>4282</v>
      </c>
      <c r="D9" s="491" t="s">
        <v>309</v>
      </c>
      <c r="E9" s="484">
        <v>3818</v>
      </c>
      <c r="F9" s="491" t="s">
        <v>309</v>
      </c>
      <c r="G9" s="484">
        <v>4224</v>
      </c>
      <c r="H9" s="484" t="s">
        <v>309</v>
      </c>
      <c r="I9" s="493">
        <v>4095</v>
      </c>
      <c r="J9" s="488" t="s">
        <v>309</v>
      </c>
      <c r="K9" s="494">
        <v>3993</v>
      </c>
      <c r="L9" s="484" t="s">
        <v>309</v>
      </c>
      <c r="M9" s="495" t="s">
        <v>310</v>
      </c>
      <c r="N9" s="491" t="s">
        <v>106</v>
      </c>
      <c r="O9" s="484" t="s">
        <v>310</v>
      </c>
      <c r="P9" s="491" t="s">
        <v>106</v>
      </c>
      <c r="Q9" s="484" t="s">
        <v>310</v>
      </c>
      <c r="R9" s="491" t="s">
        <v>106</v>
      </c>
      <c r="S9" s="484" t="s">
        <v>310</v>
      </c>
      <c r="T9" s="484" t="s">
        <v>106</v>
      </c>
      <c r="U9" s="493" t="s">
        <v>310</v>
      </c>
      <c r="V9" s="484" t="s">
        <v>106</v>
      </c>
      <c r="W9" s="495" t="s">
        <v>310</v>
      </c>
      <c r="X9" s="491" t="s">
        <v>106</v>
      </c>
      <c r="Y9" s="484" t="s">
        <v>310</v>
      </c>
      <c r="Z9" s="491" t="s">
        <v>106</v>
      </c>
      <c r="AA9" s="484" t="s">
        <v>310</v>
      </c>
      <c r="AB9" s="484" t="s">
        <v>106</v>
      </c>
      <c r="AC9" s="493" t="s">
        <v>310</v>
      </c>
      <c r="AD9" s="488" t="s">
        <v>106</v>
      </c>
      <c r="AE9" s="494" t="s">
        <v>310</v>
      </c>
      <c r="AF9" s="492" t="s">
        <v>106</v>
      </c>
    </row>
    <row r="10" spans="1:32" ht="15">
      <c r="A10" s="482" t="s">
        <v>298</v>
      </c>
      <c r="B10" s="483"/>
      <c r="C10" s="484">
        <v>4528.89</v>
      </c>
      <c r="D10" s="491" t="s">
        <v>309</v>
      </c>
      <c r="E10" s="484">
        <v>3807.91</v>
      </c>
      <c r="F10" s="491" t="s">
        <v>309</v>
      </c>
      <c r="G10" s="484">
        <v>4679.62</v>
      </c>
      <c r="H10" s="484" t="s">
        <v>309</v>
      </c>
      <c r="I10" s="493">
        <v>4679.62</v>
      </c>
      <c r="J10" s="488" t="s">
        <v>309</v>
      </c>
      <c r="K10" s="494">
        <v>4679.62</v>
      </c>
      <c r="L10" s="484" t="s">
        <v>309</v>
      </c>
      <c r="M10" s="495">
        <v>4274</v>
      </c>
      <c r="N10" s="491" t="s">
        <v>309</v>
      </c>
      <c r="O10" s="484">
        <v>4067</v>
      </c>
      <c r="P10" s="491" t="s">
        <v>309</v>
      </c>
      <c r="Q10" s="484">
        <v>3088</v>
      </c>
      <c r="R10" s="491" t="s">
        <v>309</v>
      </c>
      <c r="S10" s="484">
        <v>3088</v>
      </c>
      <c r="T10" s="484" t="s">
        <v>309</v>
      </c>
      <c r="U10" s="493">
        <v>3088</v>
      </c>
      <c r="V10" s="484" t="s">
        <v>309</v>
      </c>
      <c r="W10" s="495">
        <v>9692</v>
      </c>
      <c r="X10" s="491" t="s">
        <v>309</v>
      </c>
      <c r="Y10" s="484">
        <v>8054</v>
      </c>
      <c r="Z10" s="491" t="s">
        <v>309</v>
      </c>
      <c r="AA10" s="484">
        <v>5658</v>
      </c>
      <c r="AB10" s="484" t="s">
        <v>309</v>
      </c>
      <c r="AC10" s="493">
        <v>5658</v>
      </c>
      <c r="AD10" s="488" t="s">
        <v>309</v>
      </c>
      <c r="AE10" s="494">
        <v>5658</v>
      </c>
      <c r="AF10" s="492" t="s">
        <v>309</v>
      </c>
    </row>
    <row r="11" spans="1:32" ht="15">
      <c r="A11" s="482" t="s">
        <v>313</v>
      </c>
      <c r="B11" s="483"/>
      <c r="C11" s="484">
        <v>3179</v>
      </c>
      <c r="D11" s="491" t="s">
        <v>309</v>
      </c>
      <c r="E11" s="484">
        <v>2991</v>
      </c>
      <c r="F11" s="491" t="s">
        <v>309</v>
      </c>
      <c r="G11" s="484">
        <v>3186</v>
      </c>
      <c r="H11" s="484" t="s">
        <v>309</v>
      </c>
      <c r="I11" s="493">
        <v>3382</v>
      </c>
      <c r="J11" s="488" t="s">
        <v>309</v>
      </c>
      <c r="K11" s="494">
        <v>3350.74</v>
      </c>
      <c r="L11" s="484" t="s">
        <v>309</v>
      </c>
      <c r="M11" s="495">
        <v>2535</v>
      </c>
      <c r="N11" s="491" t="s">
        <v>309</v>
      </c>
      <c r="O11" s="484">
        <v>3113</v>
      </c>
      <c r="P11" s="491" t="s">
        <v>309</v>
      </c>
      <c r="Q11" s="484">
        <v>4677</v>
      </c>
      <c r="R11" s="491" t="s">
        <v>309</v>
      </c>
      <c r="S11" s="484">
        <v>5351</v>
      </c>
      <c r="T11" s="484" t="s">
        <v>309</v>
      </c>
      <c r="U11" s="493">
        <v>3110</v>
      </c>
      <c r="V11" s="484" t="s">
        <v>309</v>
      </c>
      <c r="W11" s="495">
        <v>25606</v>
      </c>
      <c r="X11" s="491" t="s">
        <v>309</v>
      </c>
      <c r="Y11" s="484">
        <v>28926</v>
      </c>
      <c r="Z11" s="491" t="s">
        <v>309</v>
      </c>
      <c r="AA11" s="484">
        <v>29323</v>
      </c>
      <c r="AB11" s="484" t="s">
        <v>309</v>
      </c>
      <c r="AC11" s="493">
        <v>31516</v>
      </c>
      <c r="AD11" s="488" t="s">
        <v>309</v>
      </c>
      <c r="AE11" s="493">
        <v>45251</v>
      </c>
      <c r="AF11" s="492" t="s">
        <v>309</v>
      </c>
    </row>
    <row r="12" spans="1:32" ht="15">
      <c r="A12" s="482" t="s">
        <v>283</v>
      </c>
      <c r="B12" s="483"/>
      <c r="C12" s="484">
        <v>22.69</v>
      </c>
      <c r="D12" s="491" t="s">
        <v>309</v>
      </c>
      <c r="E12" s="484">
        <v>21.35</v>
      </c>
      <c r="F12" s="491" t="s">
        <v>309</v>
      </c>
      <c r="G12" s="484">
        <v>17.71</v>
      </c>
      <c r="H12" s="484" t="s">
        <v>309</v>
      </c>
      <c r="I12" s="493">
        <v>12.77</v>
      </c>
      <c r="J12" s="488" t="s">
        <v>309</v>
      </c>
      <c r="K12" s="494">
        <v>10.83</v>
      </c>
      <c r="L12" s="484" t="s">
        <v>309</v>
      </c>
      <c r="M12" s="495">
        <v>683.45</v>
      </c>
      <c r="N12" s="491" t="s">
        <v>309</v>
      </c>
      <c r="O12" s="484">
        <v>606.64</v>
      </c>
      <c r="P12" s="491" t="s">
        <v>309</v>
      </c>
      <c r="Q12" s="484">
        <v>420.24</v>
      </c>
      <c r="R12" s="491" t="s">
        <v>309</v>
      </c>
      <c r="S12" s="484">
        <v>199.77</v>
      </c>
      <c r="T12" s="484" t="s">
        <v>309</v>
      </c>
      <c r="U12" s="493">
        <v>195.74</v>
      </c>
      <c r="V12" s="484" t="s">
        <v>309</v>
      </c>
      <c r="W12" s="495">
        <v>0.61</v>
      </c>
      <c r="X12" s="491" t="s">
        <v>309</v>
      </c>
      <c r="Y12" s="484">
        <v>0.78</v>
      </c>
      <c r="Z12" s="491" t="s">
        <v>309</v>
      </c>
      <c r="AA12" s="484" t="s">
        <v>279</v>
      </c>
      <c r="AB12" s="484" t="s">
        <v>309</v>
      </c>
      <c r="AC12" s="493" t="s">
        <v>279</v>
      </c>
      <c r="AD12" s="488" t="s">
        <v>309</v>
      </c>
      <c r="AE12" s="494" t="s">
        <v>279</v>
      </c>
      <c r="AF12" s="492" t="s">
        <v>309</v>
      </c>
    </row>
    <row r="13" spans="1:32" ht="15">
      <c r="A13" s="482" t="s">
        <v>238</v>
      </c>
      <c r="B13" s="483"/>
      <c r="C13" s="484">
        <v>13365</v>
      </c>
      <c r="D13" s="491" t="s">
        <v>309</v>
      </c>
      <c r="E13" s="484">
        <v>12865</v>
      </c>
      <c r="F13" s="491" t="s">
        <v>309</v>
      </c>
      <c r="G13" s="484">
        <v>13021</v>
      </c>
      <c r="H13" s="484" t="s">
        <v>309</v>
      </c>
      <c r="I13" s="493">
        <v>12563</v>
      </c>
      <c r="J13" s="488" t="s">
        <v>309</v>
      </c>
      <c r="K13" s="494">
        <v>13212</v>
      </c>
      <c r="L13" s="484" t="s">
        <v>309</v>
      </c>
      <c r="M13" s="495">
        <v>40864.78</v>
      </c>
      <c r="N13" s="491" t="s">
        <v>309</v>
      </c>
      <c r="O13" s="484">
        <v>34232.25</v>
      </c>
      <c r="P13" s="491" t="s">
        <v>309</v>
      </c>
      <c r="Q13" s="484">
        <v>42486.38</v>
      </c>
      <c r="R13" s="491" t="s">
        <v>309</v>
      </c>
      <c r="S13" s="484">
        <v>41985.76</v>
      </c>
      <c r="T13" s="484" t="s">
        <v>309</v>
      </c>
      <c r="U13" s="493">
        <v>47819.8</v>
      </c>
      <c r="V13" s="484" t="s">
        <v>309</v>
      </c>
      <c r="W13" s="495">
        <v>94053.87</v>
      </c>
      <c r="X13" s="491" t="s">
        <v>309</v>
      </c>
      <c r="Y13" s="484">
        <v>101224.43</v>
      </c>
      <c r="Z13" s="491" t="s">
        <v>309</v>
      </c>
      <c r="AA13" s="484">
        <v>111035.56</v>
      </c>
      <c r="AB13" s="484" t="s">
        <v>309</v>
      </c>
      <c r="AC13" s="493">
        <v>183820.88</v>
      </c>
      <c r="AD13" s="488" t="s">
        <v>309</v>
      </c>
      <c r="AE13" s="494">
        <v>181098.99</v>
      </c>
      <c r="AF13" s="492" t="s">
        <v>309</v>
      </c>
    </row>
    <row r="14" spans="1:32" ht="15">
      <c r="A14" s="482" t="s">
        <v>291</v>
      </c>
      <c r="B14" s="483"/>
      <c r="C14" s="484">
        <v>2712</v>
      </c>
      <c r="D14" s="491" t="s">
        <v>309</v>
      </c>
      <c r="E14" s="484">
        <v>1420</v>
      </c>
      <c r="F14" s="491" t="s">
        <v>309</v>
      </c>
      <c r="G14" s="484">
        <v>1803.08</v>
      </c>
      <c r="H14" s="484" t="s">
        <v>309</v>
      </c>
      <c r="I14" s="493">
        <v>2247.78</v>
      </c>
      <c r="J14" s="488" t="s">
        <v>309</v>
      </c>
      <c r="K14" s="494">
        <v>2138.82</v>
      </c>
      <c r="L14" s="484" t="s">
        <v>309</v>
      </c>
      <c r="M14" s="495">
        <v>48324.88</v>
      </c>
      <c r="N14" s="491" t="s">
        <v>309</v>
      </c>
      <c r="O14" s="484">
        <v>40861.5</v>
      </c>
      <c r="P14" s="491" t="s">
        <v>309</v>
      </c>
      <c r="Q14" s="484">
        <v>41931.15</v>
      </c>
      <c r="R14" s="491" t="s">
        <v>309</v>
      </c>
      <c r="S14" s="484">
        <v>56445.67</v>
      </c>
      <c r="T14" s="484" t="s">
        <v>309</v>
      </c>
      <c r="U14" s="493">
        <v>59550.6</v>
      </c>
      <c r="V14" s="484" t="s">
        <v>309</v>
      </c>
      <c r="W14" s="495">
        <v>69265.66</v>
      </c>
      <c r="X14" s="491" t="s">
        <v>309</v>
      </c>
      <c r="Y14" s="484">
        <v>47110.91</v>
      </c>
      <c r="Z14" s="491" t="s">
        <v>309</v>
      </c>
      <c r="AA14" s="484">
        <v>21964.84</v>
      </c>
      <c r="AB14" s="484" t="s">
        <v>309</v>
      </c>
      <c r="AC14" s="493">
        <v>26495.06</v>
      </c>
      <c r="AD14" s="488" t="s">
        <v>309</v>
      </c>
      <c r="AE14" s="494">
        <v>27704.12</v>
      </c>
      <c r="AF14" s="492" t="s">
        <v>309</v>
      </c>
    </row>
    <row r="15" spans="1:32" ht="15">
      <c r="A15" s="482" t="s">
        <v>294</v>
      </c>
      <c r="B15" s="483"/>
      <c r="C15" s="484">
        <v>4824.52</v>
      </c>
      <c r="D15" s="491" t="s">
        <v>309</v>
      </c>
      <c r="E15" s="484">
        <v>7099.99</v>
      </c>
      <c r="F15" s="491" t="s">
        <v>309</v>
      </c>
      <c r="G15" s="484">
        <v>7779.52</v>
      </c>
      <c r="H15" s="484" t="s">
        <v>309</v>
      </c>
      <c r="I15" s="493">
        <v>8076.13</v>
      </c>
      <c r="J15" s="488" t="s">
        <v>309</v>
      </c>
      <c r="K15" s="494">
        <v>9350.2</v>
      </c>
      <c r="L15" s="484" t="s">
        <v>309</v>
      </c>
      <c r="M15" s="495">
        <v>14046.19</v>
      </c>
      <c r="N15" s="491" t="s">
        <v>309</v>
      </c>
      <c r="O15" s="484">
        <v>23355.71</v>
      </c>
      <c r="P15" s="491" t="s">
        <v>309</v>
      </c>
      <c r="Q15" s="484">
        <v>27189.28</v>
      </c>
      <c r="R15" s="491" t="s">
        <v>309</v>
      </c>
      <c r="S15" s="484">
        <v>48873.73</v>
      </c>
      <c r="T15" s="484" t="s">
        <v>309</v>
      </c>
      <c r="U15" s="493">
        <v>87864.88</v>
      </c>
      <c r="V15" s="484" t="s">
        <v>309</v>
      </c>
      <c r="W15" s="495">
        <v>136188.84</v>
      </c>
      <c r="X15" s="491" t="s">
        <v>309</v>
      </c>
      <c r="Y15" s="484">
        <v>109379.1</v>
      </c>
      <c r="Z15" s="491" t="s">
        <v>309</v>
      </c>
      <c r="AA15" s="484">
        <v>105922.25</v>
      </c>
      <c r="AB15" s="484" t="s">
        <v>309</v>
      </c>
      <c r="AC15" s="493">
        <v>131644.87</v>
      </c>
      <c r="AD15" s="488" t="s">
        <v>309</v>
      </c>
      <c r="AE15" s="494">
        <v>116986.72</v>
      </c>
      <c r="AF15" s="492" t="s">
        <v>309</v>
      </c>
    </row>
    <row r="16" spans="1:32" ht="15">
      <c r="A16" s="482" t="s">
        <v>122</v>
      </c>
      <c r="B16" s="483"/>
      <c r="C16" s="484">
        <v>63733.18</v>
      </c>
      <c r="D16" s="491" t="s">
        <v>309</v>
      </c>
      <c r="E16" s="484">
        <v>63798.82</v>
      </c>
      <c r="F16" s="491" t="s">
        <v>309</v>
      </c>
      <c r="G16" s="484">
        <v>65291.45</v>
      </c>
      <c r="H16" s="484" t="s">
        <v>309</v>
      </c>
      <c r="I16" s="493">
        <v>66380.2</v>
      </c>
      <c r="J16" s="488" t="s">
        <v>309</v>
      </c>
      <c r="K16" s="494">
        <v>66383.46</v>
      </c>
      <c r="L16" s="484" t="s">
        <v>309</v>
      </c>
      <c r="M16" s="495">
        <v>352757.28</v>
      </c>
      <c r="N16" s="491" t="s">
        <v>309</v>
      </c>
      <c r="O16" s="484">
        <v>415659.24</v>
      </c>
      <c r="P16" s="491" t="s">
        <v>309</v>
      </c>
      <c r="Q16" s="484">
        <v>471127.9</v>
      </c>
      <c r="R16" s="491" t="s">
        <v>309</v>
      </c>
      <c r="S16" s="484">
        <v>582611.33</v>
      </c>
      <c r="T16" s="484" t="s">
        <v>309</v>
      </c>
      <c r="U16" s="493">
        <v>677389.75</v>
      </c>
      <c r="V16" s="484" t="s">
        <v>309</v>
      </c>
      <c r="W16" s="495">
        <v>43325.27</v>
      </c>
      <c r="X16" s="491" t="s">
        <v>309</v>
      </c>
      <c r="Y16" s="484">
        <v>33983.18</v>
      </c>
      <c r="Z16" s="491" t="s">
        <v>309</v>
      </c>
      <c r="AA16" s="484">
        <v>35038.17</v>
      </c>
      <c r="AB16" s="484" t="s">
        <v>309</v>
      </c>
      <c r="AC16" s="493">
        <v>42778.48</v>
      </c>
      <c r="AD16" s="488" t="s">
        <v>309</v>
      </c>
      <c r="AE16" s="494">
        <v>48888.88</v>
      </c>
      <c r="AF16" s="492" t="s">
        <v>309</v>
      </c>
    </row>
    <row r="17" spans="1:32" ht="15">
      <c r="A17" s="482" t="s">
        <v>242</v>
      </c>
      <c r="B17" s="483"/>
      <c r="C17" s="484">
        <v>42012.04</v>
      </c>
      <c r="D17" s="491" t="s">
        <v>309</v>
      </c>
      <c r="E17" s="484">
        <v>36410.62</v>
      </c>
      <c r="F17" s="491" t="s">
        <v>309</v>
      </c>
      <c r="G17" s="484">
        <v>32849.57</v>
      </c>
      <c r="H17" s="484" t="s">
        <v>309</v>
      </c>
      <c r="I17" s="493">
        <v>30589.88</v>
      </c>
      <c r="J17" s="488" t="s">
        <v>309</v>
      </c>
      <c r="K17" s="494">
        <v>32989.1</v>
      </c>
      <c r="L17" s="484" t="s">
        <v>309</v>
      </c>
      <c r="M17" s="495">
        <v>278807.13</v>
      </c>
      <c r="N17" s="491" t="s">
        <v>309</v>
      </c>
      <c r="O17" s="484">
        <v>248124.19</v>
      </c>
      <c r="P17" s="491" t="s">
        <v>309</v>
      </c>
      <c r="Q17" s="484">
        <v>227487.72</v>
      </c>
      <c r="R17" s="491" t="s">
        <v>309</v>
      </c>
      <c r="S17" s="484">
        <v>273518.5</v>
      </c>
      <c r="T17" s="484" t="s">
        <v>309</v>
      </c>
      <c r="U17" s="493">
        <v>282755.89</v>
      </c>
      <c r="V17" s="484" t="s">
        <v>309</v>
      </c>
      <c r="W17" s="495">
        <v>399798.73</v>
      </c>
      <c r="X17" s="491" t="s">
        <v>309</v>
      </c>
      <c r="Y17" s="484">
        <v>279183.6</v>
      </c>
      <c r="Z17" s="491" t="s">
        <v>309</v>
      </c>
      <c r="AA17" s="484">
        <v>226548.74</v>
      </c>
      <c r="AB17" s="484" t="s">
        <v>309</v>
      </c>
      <c r="AC17" s="493">
        <v>255820.88</v>
      </c>
      <c r="AD17" s="488" t="s">
        <v>309</v>
      </c>
      <c r="AE17" s="494">
        <v>271093.08</v>
      </c>
      <c r="AF17" s="492" t="s">
        <v>309</v>
      </c>
    </row>
    <row r="18" spans="1:32" ht="15">
      <c r="A18" s="482" t="s">
        <v>239</v>
      </c>
      <c r="B18" s="483"/>
      <c r="C18" s="484">
        <v>51702</v>
      </c>
      <c r="D18" s="491" t="s">
        <v>309</v>
      </c>
      <c r="E18" s="484">
        <v>38095</v>
      </c>
      <c r="F18" s="491" t="s">
        <v>309</v>
      </c>
      <c r="G18" s="484">
        <v>40151</v>
      </c>
      <c r="H18" s="484" t="s">
        <v>309</v>
      </c>
      <c r="I18" s="493">
        <v>49183</v>
      </c>
      <c r="J18" s="488" t="s">
        <v>309</v>
      </c>
      <c r="K18" s="494">
        <v>51747</v>
      </c>
      <c r="L18" s="484" t="s">
        <v>309</v>
      </c>
      <c r="M18" s="495">
        <v>318195.59</v>
      </c>
      <c r="N18" s="491" t="s">
        <v>309</v>
      </c>
      <c r="O18" s="484">
        <v>288833.69</v>
      </c>
      <c r="P18" s="491" t="s">
        <v>309</v>
      </c>
      <c r="Q18" s="484">
        <v>235472.37</v>
      </c>
      <c r="R18" s="491" t="s">
        <v>309</v>
      </c>
      <c r="S18" s="484">
        <v>256631.95</v>
      </c>
      <c r="T18" s="484" t="s">
        <v>309</v>
      </c>
      <c r="U18" s="493">
        <v>239483.1</v>
      </c>
      <c r="V18" s="484" t="s">
        <v>309</v>
      </c>
      <c r="W18" s="495">
        <v>405875.31</v>
      </c>
      <c r="X18" s="491" t="s">
        <v>309</v>
      </c>
      <c r="Y18" s="484">
        <v>344775.55</v>
      </c>
      <c r="Z18" s="491" t="s">
        <v>309</v>
      </c>
      <c r="AA18" s="484">
        <v>316567.97</v>
      </c>
      <c r="AB18" s="484" t="s">
        <v>309</v>
      </c>
      <c r="AC18" s="493">
        <v>341079.42</v>
      </c>
      <c r="AD18" s="488" t="s">
        <v>309</v>
      </c>
      <c r="AE18" s="494">
        <v>365442.9</v>
      </c>
      <c r="AF18" s="492" t="s">
        <v>309</v>
      </c>
    </row>
    <row r="19" spans="1:32" ht="15">
      <c r="A19" s="482" t="s">
        <v>314</v>
      </c>
      <c r="B19" s="483"/>
      <c r="C19" s="484">
        <v>2680.46</v>
      </c>
      <c r="D19" s="491" t="s">
        <v>309</v>
      </c>
      <c r="E19" s="484">
        <v>2543.71</v>
      </c>
      <c r="F19" s="491" t="s">
        <v>309</v>
      </c>
      <c r="G19" s="484">
        <v>2034.97</v>
      </c>
      <c r="H19" s="484" t="s">
        <v>309</v>
      </c>
      <c r="I19" s="493">
        <v>2147.15</v>
      </c>
      <c r="J19" s="488" t="s">
        <v>309</v>
      </c>
      <c r="K19" s="494">
        <v>2159.73</v>
      </c>
      <c r="L19" s="484" t="s">
        <v>309</v>
      </c>
      <c r="M19" s="495">
        <v>34556.61</v>
      </c>
      <c r="N19" s="491" t="s">
        <v>309</v>
      </c>
      <c r="O19" s="484">
        <v>34740.67</v>
      </c>
      <c r="P19" s="491" t="s">
        <v>309</v>
      </c>
      <c r="Q19" s="484">
        <v>28871.31</v>
      </c>
      <c r="R19" s="491" t="s">
        <v>309</v>
      </c>
      <c r="S19" s="484">
        <v>35669.32</v>
      </c>
      <c r="T19" s="484" t="s">
        <v>309</v>
      </c>
      <c r="U19" s="493">
        <v>41338.84</v>
      </c>
      <c r="V19" s="484" t="s">
        <v>309</v>
      </c>
      <c r="W19" s="495">
        <v>727.4</v>
      </c>
      <c r="X19" s="491" t="s">
        <v>309</v>
      </c>
      <c r="Y19" s="484">
        <v>354.96</v>
      </c>
      <c r="Z19" s="491" t="s">
        <v>309</v>
      </c>
      <c r="AA19" s="484">
        <v>953.69</v>
      </c>
      <c r="AB19" s="484" t="s">
        <v>309</v>
      </c>
      <c r="AC19" s="493">
        <v>1353.06</v>
      </c>
      <c r="AD19" s="488" t="s">
        <v>309</v>
      </c>
      <c r="AE19" s="494">
        <v>1285.97</v>
      </c>
      <c r="AF19" s="492" t="s">
        <v>309</v>
      </c>
    </row>
    <row r="20" spans="1:32" ht="15">
      <c r="A20" s="482" t="s">
        <v>315</v>
      </c>
      <c r="B20" s="483"/>
      <c r="C20" s="484">
        <v>4662.3</v>
      </c>
      <c r="D20" s="491" t="s">
        <v>309</v>
      </c>
      <c r="E20" s="484">
        <v>4613</v>
      </c>
      <c r="F20" s="491" t="s">
        <v>309</v>
      </c>
      <c r="G20" s="484">
        <v>4593.4</v>
      </c>
      <c r="H20" s="484" t="s">
        <v>309</v>
      </c>
      <c r="I20" s="493">
        <v>4562</v>
      </c>
      <c r="J20" s="488" t="s">
        <v>309</v>
      </c>
      <c r="K20" s="494">
        <v>4770.3</v>
      </c>
      <c r="L20" s="484" t="s">
        <v>309</v>
      </c>
      <c r="M20" s="495">
        <v>19190.97</v>
      </c>
      <c r="N20" s="491" t="s">
        <v>309</v>
      </c>
      <c r="O20" s="484">
        <v>17626.48</v>
      </c>
      <c r="P20" s="491" t="s">
        <v>309</v>
      </c>
      <c r="Q20" s="484">
        <v>18448.29</v>
      </c>
      <c r="R20" s="491" t="s">
        <v>309</v>
      </c>
      <c r="S20" s="484">
        <v>24285.88</v>
      </c>
      <c r="T20" s="484" t="s">
        <v>309</v>
      </c>
      <c r="U20" s="493">
        <v>25213.12</v>
      </c>
      <c r="V20" s="484" t="s">
        <v>309</v>
      </c>
      <c r="W20" s="495">
        <v>59544.86</v>
      </c>
      <c r="X20" s="491" t="s">
        <v>309</v>
      </c>
      <c r="Y20" s="484">
        <v>56488.51</v>
      </c>
      <c r="Z20" s="491" t="s">
        <v>309</v>
      </c>
      <c r="AA20" s="484">
        <v>58474.06</v>
      </c>
      <c r="AB20" s="484" t="s">
        <v>309</v>
      </c>
      <c r="AC20" s="493">
        <v>73722.91</v>
      </c>
      <c r="AD20" s="488" t="s">
        <v>309</v>
      </c>
      <c r="AE20" s="494">
        <v>73212.46</v>
      </c>
      <c r="AF20" s="492" t="s">
        <v>309</v>
      </c>
    </row>
    <row r="21" spans="1:32" ht="15">
      <c r="A21" s="482" t="s">
        <v>316</v>
      </c>
      <c r="B21" s="483"/>
      <c r="C21" s="484">
        <v>3.82</v>
      </c>
      <c r="D21" s="491" t="s">
        <v>309</v>
      </c>
      <c r="E21" s="484">
        <v>0.1</v>
      </c>
      <c r="F21" s="491" t="s">
        <v>309</v>
      </c>
      <c r="G21" s="484">
        <v>0.75</v>
      </c>
      <c r="H21" s="484" t="s">
        <v>309</v>
      </c>
      <c r="I21" s="493">
        <v>0.98</v>
      </c>
      <c r="J21" s="488" t="s">
        <v>309</v>
      </c>
      <c r="K21" s="494">
        <v>1</v>
      </c>
      <c r="L21" s="484" t="s">
        <v>309</v>
      </c>
      <c r="M21" s="495">
        <v>450.03</v>
      </c>
      <c r="N21" s="491" t="s">
        <v>309</v>
      </c>
      <c r="O21" s="484">
        <v>160.07</v>
      </c>
      <c r="P21" s="491" t="s">
        <v>309</v>
      </c>
      <c r="Q21" s="484">
        <v>166.35</v>
      </c>
      <c r="R21" s="491" t="s">
        <v>309</v>
      </c>
      <c r="S21" s="484">
        <v>228.55</v>
      </c>
      <c r="T21" s="484" t="s">
        <v>309</v>
      </c>
      <c r="U21" s="493">
        <v>270.67</v>
      </c>
      <c r="V21" s="484" t="s">
        <v>309</v>
      </c>
      <c r="W21" s="495" t="s">
        <v>279</v>
      </c>
      <c r="X21" s="491" t="s">
        <v>309</v>
      </c>
      <c r="Y21" s="484">
        <v>0.26</v>
      </c>
      <c r="Z21" s="491" t="s">
        <v>309</v>
      </c>
      <c r="AA21" s="484">
        <v>0.49</v>
      </c>
      <c r="AB21" s="484" t="s">
        <v>309</v>
      </c>
      <c r="AC21" s="493">
        <v>0.49</v>
      </c>
      <c r="AD21" s="488" t="s">
        <v>21</v>
      </c>
      <c r="AE21" s="494">
        <v>0.47</v>
      </c>
      <c r="AF21" s="492" t="s">
        <v>309</v>
      </c>
    </row>
    <row r="22" spans="1:32" ht="15">
      <c r="A22" s="482" t="s">
        <v>290</v>
      </c>
      <c r="B22" s="483"/>
      <c r="C22" s="484">
        <v>2738.1</v>
      </c>
      <c r="D22" s="491" t="s">
        <v>309</v>
      </c>
      <c r="E22" s="484">
        <v>2503.52</v>
      </c>
      <c r="F22" s="491" t="s">
        <v>309</v>
      </c>
      <c r="G22" s="484">
        <v>2660.07</v>
      </c>
      <c r="H22" s="484" t="s">
        <v>309</v>
      </c>
      <c r="I22" s="493">
        <v>2505.24</v>
      </c>
      <c r="J22" s="488" t="s">
        <v>309</v>
      </c>
      <c r="K22" s="494">
        <v>2501.43</v>
      </c>
      <c r="L22" s="484" t="s">
        <v>309</v>
      </c>
      <c r="M22" s="495">
        <v>26003.03</v>
      </c>
      <c r="N22" s="491" t="s">
        <v>309</v>
      </c>
      <c r="O22" s="484">
        <v>24666.64</v>
      </c>
      <c r="P22" s="491" t="s">
        <v>309</v>
      </c>
      <c r="Q22" s="484">
        <v>23175.08</v>
      </c>
      <c r="R22" s="491" t="s">
        <v>309</v>
      </c>
      <c r="S22" s="484">
        <v>45385.27</v>
      </c>
      <c r="T22" s="484" t="s">
        <v>309</v>
      </c>
      <c r="U22" s="493">
        <v>56079.48</v>
      </c>
      <c r="V22" s="484" t="s">
        <v>309</v>
      </c>
      <c r="W22" s="495">
        <v>8347.5</v>
      </c>
      <c r="X22" s="491" t="s">
        <v>309</v>
      </c>
      <c r="Y22" s="484">
        <v>8377.35</v>
      </c>
      <c r="Z22" s="491" t="s">
        <v>309</v>
      </c>
      <c r="AA22" s="484">
        <v>7640.97</v>
      </c>
      <c r="AB22" s="484" t="s">
        <v>309</v>
      </c>
      <c r="AC22" s="493">
        <v>11303.45</v>
      </c>
      <c r="AD22" s="488" t="s">
        <v>309</v>
      </c>
      <c r="AE22" s="494">
        <v>14067.34</v>
      </c>
      <c r="AF22" s="492" t="s">
        <v>309</v>
      </c>
    </row>
    <row r="23" spans="1:32" ht="15">
      <c r="A23" s="482" t="s">
        <v>317</v>
      </c>
      <c r="B23" s="483"/>
      <c r="C23" s="484">
        <v>220.36</v>
      </c>
      <c r="D23" s="491" t="s">
        <v>309</v>
      </c>
      <c r="E23" s="484">
        <v>166.36</v>
      </c>
      <c r="F23" s="491" t="s">
        <v>309</v>
      </c>
      <c r="G23" s="484">
        <v>166.36</v>
      </c>
      <c r="H23" s="484" t="s">
        <v>309</v>
      </c>
      <c r="I23" s="493">
        <v>166.36</v>
      </c>
      <c r="J23" s="488" t="s">
        <v>309</v>
      </c>
      <c r="K23" s="494">
        <v>166.36</v>
      </c>
      <c r="L23" s="484" t="s">
        <v>309</v>
      </c>
      <c r="M23" s="495">
        <v>12099</v>
      </c>
      <c r="N23" s="491" t="s">
        <v>309</v>
      </c>
      <c r="O23" s="484">
        <v>12099</v>
      </c>
      <c r="P23" s="491" t="s">
        <v>309</v>
      </c>
      <c r="Q23" s="484">
        <v>12099</v>
      </c>
      <c r="R23" s="491" t="s">
        <v>309</v>
      </c>
      <c r="S23" s="484">
        <v>12099</v>
      </c>
      <c r="T23" s="484" t="s">
        <v>309</v>
      </c>
      <c r="U23" s="493">
        <v>12099</v>
      </c>
      <c r="V23" s="484" t="s">
        <v>309</v>
      </c>
      <c r="W23" s="495">
        <v>32</v>
      </c>
      <c r="X23" s="491" t="s">
        <v>309</v>
      </c>
      <c r="Y23" s="484">
        <v>32</v>
      </c>
      <c r="Z23" s="491" t="s">
        <v>309</v>
      </c>
      <c r="AA23" s="484">
        <v>32</v>
      </c>
      <c r="AB23" s="484" t="s">
        <v>309</v>
      </c>
      <c r="AC23" s="493">
        <v>32</v>
      </c>
      <c r="AD23" s="488" t="s">
        <v>309</v>
      </c>
      <c r="AE23" s="494">
        <v>32</v>
      </c>
      <c r="AF23" s="492" t="s">
        <v>309</v>
      </c>
    </row>
    <row r="24" spans="1:32" ht="15">
      <c r="A24" s="482" t="s">
        <v>179</v>
      </c>
      <c r="B24" s="483"/>
      <c r="C24" s="484">
        <v>15599.62</v>
      </c>
      <c r="D24" s="491" t="s">
        <v>309</v>
      </c>
      <c r="E24" s="484">
        <v>13797</v>
      </c>
      <c r="F24" s="491" t="s">
        <v>309</v>
      </c>
      <c r="G24" s="484">
        <v>12802.77</v>
      </c>
      <c r="H24" s="484" t="s">
        <v>309</v>
      </c>
      <c r="I24" s="493">
        <v>13167.09</v>
      </c>
      <c r="J24" s="488" t="s">
        <v>309</v>
      </c>
      <c r="K24" s="494">
        <v>14097.89</v>
      </c>
      <c r="L24" s="484" t="s">
        <v>309</v>
      </c>
      <c r="M24" s="495">
        <v>518266.74</v>
      </c>
      <c r="N24" s="491" t="s">
        <v>309</v>
      </c>
      <c r="O24" s="484">
        <v>453454.82</v>
      </c>
      <c r="P24" s="491" t="s">
        <v>309</v>
      </c>
      <c r="Q24" s="484">
        <v>445084.58</v>
      </c>
      <c r="R24" s="491" t="s">
        <v>309</v>
      </c>
      <c r="S24" s="484">
        <v>494431.69</v>
      </c>
      <c r="T24" s="484" t="s">
        <v>309</v>
      </c>
      <c r="U24" s="493">
        <v>569240.99</v>
      </c>
      <c r="V24" s="484" t="s">
        <v>309</v>
      </c>
      <c r="W24" s="495">
        <v>3349.26</v>
      </c>
      <c r="X24" s="491" t="s">
        <v>309</v>
      </c>
      <c r="Y24" s="484">
        <v>2915.18</v>
      </c>
      <c r="Z24" s="491" t="s">
        <v>309</v>
      </c>
      <c r="AA24" s="484">
        <v>2371.68</v>
      </c>
      <c r="AB24" s="484" t="s">
        <v>309</v>
      </c>
      <c r="AC24" s="493">
        <v>5447.86</v>
      </c>
      <c r="AD24" s="488" t="s">
        <v>309</v>
      </c>
      <c r="AE24" s="494">
        <v>7332.79</v>
      </c>
      <c r="AF24" s="492" t="s">
        <v>309</v>
      </c>
    </row>
    <row r="25" spans="1:32" ht="15">
      <c r="A25" s="482" t="s">
        <v>295</v>
      </c>
      <c r="B25" s="483"/>
      <c r="C25" s="484">
        <v>10086.78</v>
      </c>
      <c r="D25" s="491" t="s">
        <v>309</v>
      </c>
      <c r="E25" s="484">
        <v>8959.12</v>
      </c>
      <c r="F25" s="491" t="s">
        <v>309</v>
      </c>
      <c r="G25" s="484">
        <v>9384.65</v>
      </c>
      <c r="H25" s="484" t="s">
        <v>309</v>
      </c>
      <c r="I25" s="493">
        <v>8919.42</v>
      </c>
      <c r="J25" s="488" t="s">
        <v>309</v>
      </c>
      <c r="K25" s="494">
        <v>9033.97</v>
      </c>
      <c r="L25" s="484" t="s">
        <v>309</v>
      </c>
      <c r="M25" s="495">
        <v>6966.59</v>
      </c>
      <c r="N25" s="491" t="s">
        <v>309</v>
      </c>
      <c r="O25" s="484">
        <v>9889.18</v>
      </c>
      <c r="P25" s="491" t="s">
        <v>309</v>
      </c>
      <c r="Q25" s="484">
        <v>16474.37</v>
      </c>
      <c r="R25" s="491" t="s">
        <v>309</v>
      </c>
      <c r="S25" s="484">
        <v>25284.01</v>
      </c>
      <c r="T25" s="484" t="s">
        <v>309</v>
      </c>
      <c r="U25" s="493">
        <v>49686.21</v>
      </c>
      <c r="V25" s="484" t="s">
        <v>309</v>
      </c>
      <c r="W25" s="495">
        <v>121880.98</v>
      </c>
      <c r="X25" s="491" t="s">
        <v>309</v>
      </c>
      <c r="Y25" s="484">
        <v>107448.91</v>
      </c>
      <c r="Z25" s="491" t="s">
        <v>309</v>
      </c>
      <c r="AA25" s="484">
        <v>123681.58</v>
      </c>
      <c r="AB25" s="484" t="s">
        <v>309</v>
      </c>
      <c r="AC25" s="493">
        <v>141770.51</v>
      </c>
      <c r="AD25" s="488" t="s">
        <v>309</v>
      </c>
      <c r="AE25" s="494">
        <v>195746.59</v>
      </c>
      <c r="AF25" s="492" t="s">
        <v>309</v>
      </c>
    </row>
    <row r="26" spans="1:32" ht="15">
      <c r="A26" s="482" t="s">
        <v>377</v>
      </c>
      <c r="B26" s="483"/>
      <c r="C26" s="484">
        <v>24.17</v>
      </c>
      <c r="D26" s="491" t="s">
        <v>309</v>
      </c>
      <c r="E26" s="484">
        <v>22.17</v>
      </c>
      <c r="F26" s="491" t="s">
        <v>309</v>
      </c>
      <c r="G26" s="484">
        <v>22.17</v>
      </c>
      <c r="H26" s="484" t="s">
        <v>309</v>
      </c>
      <c r="I26" s="493">
        <v>22.17</v>
      </c>
      <c r="J26" s="488" t="s">
        <v>309</v>
      </c>
      <c r="K26" s="494">
        <v>22.17</v>
      </c>
      <c r="L26" s="484" t="s">
        <v>309</v>
      </c>
      <c r="M26" s="495" t="s">
        <v>310</v>
      </c>
      <c r="N26" s="491" t="s">
        <v>106</v>
      </c>
      <c r="O26" s="484" t="s">
        <v>310</v>
      </c>
      <c r="P26" s="491" t="s">
        <v>106</v>
      </c>
      <c r="Q26" s="484" t="s">
        <v>310</v>
      </c>
      <c r="R26" s="491" t="s">
        <v>106</v>
      </c>
      <c r="S26" s="484" t="s">
        <v>310</v>
      </c>
      <c r="T26" s="484" t="s">
        <v>106</v>
      </c>
      <c r="U26" s="493" t="s">
        <v>310</v>
      </c>
      <c r="V26" s="484" t="s">
        <v>106</v>
      </c>
      <c r="W26" s="495" t="s">
        <v>310</v>
      </c>
      <c r="X26" s="491" t="s">
        <v>106</v>
      </c>
      <c r="Y26" s="484" t="s">
        <v>310</v>
      </c>
      <c r="Z26" s="491" t="s">
        <v>106</v>
      </c>
      <c r="AA26" s="484" t="s">
        <v>310</v>
      </c>
      <c r="AB26" s="484" t="s">
        <v>106</v>
      </c>
      <c r="AC26" s="493" t="s">
        <v>310</v>
      </c>
      <c r="AD26" s="488" t="s">
        <v>106</v>
      </c>
      <c r="AE26" s="494" t="s">
        <v>310</v>
      </c>
      <c r="AF26" s="492" t="s">
        <v>106</v>
      </c>
    </row>
    <row r="27" spans="1:32" ht="15">
      <c r="A27" s="482" t="s">
        <v>280</v>
      </c>
      <c r="B27" s="483"/>
      <c r="C27" s="484">
        <v>4357.72</v>
      </c>
      <c r="D27" s="491" t="s">
        <v>309</v>
      </c>
      <c r="E27" s="484">
        <v>4471.6</v>
      </c>
      <c r="F27" s="491" t="s">
        <v>309</v>
      </c>
      <c r="G27" s="484">
        <v>4782.2</v>
      </c>
      <c r="H27" s="484" t="s">
        <v>309</v>
      </c>
      <c r="I27" s="493">
        <v>4900</v>
      </c>
      <c r="J27" s="488" t="s">
        <v>309</v>
      </c>
      <c r="K27" s="494">
        <v>5126</v>
      </c>
      <c r="L27" s="484" t="s">
        <v>309</v>
      </c>
      <c r="M27" s="495">
        <v>4837.88</v>
      </c>
      <c r="N27" s="491" t="s">
        <v>309</v>
      </c>
      <c r="O27" s="484">
        <v>4750.98</v>
      </c>
      <c r="P27" s="491" t="s">
        <v>309</v>
      </c>
      <c r="Q27" s="484">
        <v>4938.78</v>
      </c>
      <c r="R27" s="491" t="s">
        <v>309</v>
      </c>
      <c r="S27" s="484">
        <v>5393.41</v>
      </c>
      <c r="T27" s="484" t="s">
        <v>309</v>
      </c>
      <c r="U27" s="493">
        <v>13713.2</v>
      </c>
      <c r="V27" s="484" t="s">
        <v>309</v>
      </c>
      <c r="W27" s="495">
        <v>40464.45</v>
      </c>
      <c r="X27" s="491" t="s">
        <v>309</v>
      </c>
      <c r="Y27" s="484">
        <v>42067.28</v>
      </c>
      <c r="Z27" s="491" t="s">
        <v>309</v>
      </c>
      <c r="AA27" s="484">
        <v>47282.71</v>
      </c>
      <c r="AB27" s="484" t="s">
        <v>309</v>
      </c>
      <c r="AC27" s="493">
        <v>55578.76</v>
      </c>
      <c r="AD27" s="488" t="s">
        <v>309</v>
      </c>
      <c r="AE27" s="494">
        <v>56293.42</v>
      </c>
      <c r="AF27" s="492" t="s">
        <v>309</v>
      </c>
    </row>
    <row r="28" spans="1:32" ht="15">
      <c r="A28" s="482" t="s">
        <v>296</v>
      </c>
      <c r="B28" s="483"/>
      <c r="C28" s="484">
        <v>795.15</v>
      </c>
      <c r="D28" s="491" t="s">
        <v>309</v>
      </c>
      <c r="E28" s="484">
        <v>708.36</v>
      </c>
      <c r="F28" s="491" t="s">
        <v>309</v>
      </c>
      <c r="G28" s="484">
        <v>990.27</v>
      </c>
      <c r="H28" s="484" t="s">
        <v>309</v>
      </c>
      <c r="I28" s="493">
        <v>1499.78</v>
      </c>
      <c r="J28" s="488" t="s">
        <v>309</v>
      </c>
      <c r="K28" s="494">
        <v>399.34</v>
      </c>
      <c r="L28" s="484" t="s">
        <v>309</v>
      </c>
      <c r="M28" s="495">
        <v>20549.06</v>
      </c>
      <c r="N28" s="491" t="s">
        <v>309</v>
      </c>
      <c r="O28" s="484">
        <v>15717.78</v>
      </c>
      <c r="P28" s="491" t="s">
        <v>309</v>
      </c>
      <c r="Q28" s="484">
        <v>16051.56</v>
      </c>
      <c r="R28" s="491" t="s">
        <v>309</v>
      </c>
      <c r="S28" s="484">
        <v>25178.26</v>
      </c>
      <c r="T28" s="484" t="s">
        <v>309</v>
      </c>
      <c r="U28" s="493">
        <v>28632.53</v>
      </c>
      <c r="V28" s="484" t="s">
        <v>309</v>
      </c>
      <c r="W28" s="495">
        <v>11371.7</v>
      </c>
      <c r="X28" s="491" t="s">
        <v>309</v>
      </c>
      <c r="Y28" s="484">
        <v>8974.81</v>
      </c>
      <c r="Z28" s="491" t="s">
        <v>309</v>
      </c>
      <c r="AA28" s="484">
        <v>7368.12</v>
      </c>
      <c r="AB28" s="484" t="s">
        <v>309</v>
      </c>
      <c r="AC28" s="493">
        <v>12387.35</v>
      </c>
      <c r="AD28" s="488" t="s">
        <v>309</v>
      </c>
      <c r="AE28" s="494">
        <v>16824.47</v>
      </c>
      <c r="AF28" s="492" t="s">
        <v>309</v>
      </c>
    </row>
    <row r="29" spans="1:32" ht="15">
      <c r="A29" s="482" t="s">
        <v>318</v>
      </c>
      <c r="B29" s="483"/>
      <c r="C29" s="484">
        <v>4.34</v>
      </c>
      <c r="D29" s="491" t="s">
        <v>309</v>
      </c>
      <c r="E29" s="484">
        <v>4.39</v>
      </c>
      <c r="F29" s="491" t="s">
        <v>309</v>
      </c>
      <c r="G29" s="484">
        <v>4.37</v>
      </c>
      <c r="H29" s="484" t="s">
        <v>309</v>
      </c>
      <c r="I29" s="493">
        <v>0.18</v>
      </c>
      <c r="J29" s="488" t="s">
        <v>309</v>
      </c>
      <c r="K29" s="494">
        <v>0.28</v>
      </c>
      <c r="L29" s="484" t="s">
        <v>309</v>
      </c>
      <c r="M29" s="495">
        <v>221.24</v>
      </c>
      <c r="N29" s="491" t="s">
        <v>309</v>
      </c>
      <c r="O29" s="484">
        <v>235.39</v>
      </c>
      <c r="P29" s="491" t="s">
        <v>309</v>
      </c>
      <c r="Q29" s="484">
        <v>233.33</v>
      </c>
      <c r="R29" s="491" t="s">
        <v>309</v>
      </c>
      <c r="S29" s="484">
        <v>23.36</v>
      </c>
      <c r="T29" s="484" t="s">
        <v>309</v>
      </c>
      <c r="U29" s="493">
        <v>67.31</v>
      </c>
      <c r="V29" s="484" t="s">
        <v>309</v>
      </c>
      <c r="W29" s="495" t="s">
        <v>279</v>
      </c>
      <c r="X29" s="491" t="s">
        <v>309</v>
      </c>
      <c r="Y29" s="484" t="s">
        <v>279</v>
      </c>
      <c r="Z29" s="491" t="s">
        <v>309</v>
      </c>
      <c r="AA29" s="484" t="s">
        <v>279</v>
      </c>
      <c r="AB29" s="484" t="s">
        <v>309</v>
      </c>
      <c r="AC29" s="493" t="s">
        <v>279</v>
      </c>
      <c r="AD29" s="488" t="s">
        <v>309</v>
      </c>
      <c r="AE29" s="494" t="s">
        <v>279</v>
      </c>
      <c r="AF29" s="492" t="s">
        <v>309</v>
      </c>
    </row>
    <row r="30" spans="1:32" ht="15">
      <c r="A30" s="482" t="s">
        <v>284</v>
      </c>
      <c r="B30" s="483"/>
      <c r="C30" s="484">
        <v>1185</v>
      </c>
      <c r="D30" s="491" t="s">
        <v>309</v>
      </c>
      <c r="E30" s="484">
        <v>875.3</v>
      </c>
      <c r="F30" s="491" t="s">
        <v>309</v>
      </c>
      <c r="G30" s="484">
        <v>968.8</v>
      </c>
      <c r="H30" s="484" t="s">
        <v>309</v>
      </c>
      <c r="I30" s="493">
        <v>914.7</v>
      </c>
      <c r="J30" s="488" t="s">
        <v>309</v>
      </c>
      <c r="K30" s="494">
        <v>698.8</v>
      </c>
      <c r="L30" s="484" t="s">
        <v>309</v>
      </c>
      <c r="M30" s="495">
        <v>34223.08</v>
      </c>
      <c r="N30" s="491" t="s">
        <v>309</v>
      </c>
      <c r="O30" s="484">
        <v>36748.26</v>
      </c>
      <c r="P30" s="491" t="s">
        <v>309</v>
      </c>
      <c r="Q30" s="484">
        <v>37173.43</v>
      </c>
      <c r="R30" s="491" t="s">
        <v>309</v>
      </c>
      <c r="S30" s="484">
        <v>31679.26</v>
      </c>
      <c r="T30" s="484" t="s">
        <v>309</v>
      </c>
      <c r="U30" s="493">
        <v>21973.49</v>
      </c>
      <c r="V30" s="484" t="s">
        <v>309</v>
      </c>
      <c r="W30" s="495">
        <v>9425.34</v>
      </c>
      <c r="X30" s="491" t="s">
        <v>309</v>
      </c>
      <c r="Y30" s="484">
        <v>20550.44</v>
      </c>
      <c r="Z30" s="491" t="s">
        <v>309</v>
      </c>
      <c r="AA30" s="484">
        <v>17178.72</v>
      </c>
      <c r="AB30" s="484" t="s">
        <v>309</v>
      </c>
      <c r="AC30" s="493">
        <v>24723.51</v>
      </c>
      <c r="AD30" s="488" t="s">
        <v>309</v>
      </c>
      <c r="AE30" s="494">
        <v>30191.94</v>
      </c>
      <c r="AF30" s="492" t="s">
        <v>309</v>
      </c>
    </row>
    <row r="31" spans="1:32" ht="15">
      <c r="A31" s="482" t="s">
        <v>127</v>
      </c>
      <c r="B31" s="483"/>
      <c r="C31" s="484">
        <v>10989.87</v>
      </c>
      <c r="D31" s="491" t="s">
        <v>309</v>
      </c>
      <c r="E31" s="484">
        <v>11357.34</v>
      </c>
      <c r="F31" s="491" t="s">
        <v>309</v>
      </c>
      <c r="G31" s="484">
        <v>10808.59</v>
      </c>
      <c r="H31" s="484" t="s">
        <v>309</v>
      </c>
      <c r="I31" s="493">
        <v>10914.31</v>
      </c>
      <c r="J31" s="488" t="s">
        <v>309</v>
      </c>
      <c r="K31" s="494">
        <v>11458.47</v>
      </c>
      <c r="L31" s="484" t="s">
        <v>309</v>
      </c>
      <c r="M31" s="495">
        <v>147074.61</v>
      </c>
      <c r="N31" s="491" t="s">
        <v>309</v>
      </c>
      <c r="O31" s="484">
        <v>126833.49</v>
      </c>
      <c r="P31" s="491" t="s">
        <v>309</v>
      </c>
      <c r="Q31" s="484">
        <v>122512.04</v>
      </c>
      <c r="R31" s="491" t="s">
        <v>309</v>
      </c>
      <c r="S31" s="484">
        <v>158421.43</v>
      </c>
      <c r="T31" s="484" t="s">
        <v>309</v>
      </c>
      <c r="U31" s="493">
        <v>180618.23</v>
      </c>
      <c r="V31" s="484" t="s">
        <v>309</v>
      </c>
      <c r="W31" s="495">
        <v>20547.93</v>
      </c>
      <c r="X31" s="491" t="s">
        <v>309</v>
      </c>
      <c r="Y31" s="484">
        <v>15345.96</v>
      </c>
      <c r="Z31" s="491" t="s">
        <v>309</v>
      </c>
      <c r="AA31" s="484">
        <v>18748.41</v>
      </c>
      <c r="AB31" s="484" t="s">
        <v>309</v>
      </c>
      <c r="AC31" s="493">
        <v>14766.82</v>
      </c>
      <c r="AD31" s="488" t="s">
        <v>309</v>
      </c>
      <c r="AE31" s="494">
        <v>14768.02</v>
      </c>
      <c r="AF31" s="492" t="s">
        <v>309</v>
      </c>
    </row>
    <row r="32" spans="1:32" ht="15">
      <c r="A32" s="482" t="s">
        <v>292</v>
      </c>
      <c r="B32" s="483"/>
      <c r="C32" s="484">
        <v>26410.2</v>
      </c>
      <c r="D32" s="491" t="s">
        <v>309</v>
      </c>
      <c r="E32" s="484">
        <v>25588.2</v>
      </c>
      <c r="F32" s="491" t="s">
        <v>309</v>
      </c>
      <c r="G32" s="484">
        <v>27140.3</v>
      </c>
      <c r="H32" s="484" t="s">
        <v>309</v>
      </c>
      <c r="I32" s="493">
        <v>30496.1</v>
      </c>
      <c r="J32" s="488" t="s">
        <v>309</v>
      </c>
      <c r="K32" s="494">
        <v>32659.9</v>
      </c>
      <c r="L32" s="484" t="s">
        <v>309</v>
      </c>
      <c r="M32" s="495">
        <v>36385.67</v>
      </c>
      <c r="N32" s="491" t="s">
        <v>309</v>
      </c>
      <c r="O32" s="484">
        <v>40599.18</v>
      </c>
      <c r="P32" s="491" t="s">
        <v>309</v>
      </c>
      <c r="Q32" s="484">
        <v>30605.14</v>
      </c>
      <c r="R32" s="491" t="s">
        <v>309</v>
      </c>
      <c r="S32" s="484">
        <v>32615.2</v>
      </c>
      <c r="T32" s="484" t="s">
        <v>309</v>
      </c>
      <c r="U32" s="493">
        <v>59283.64</v>
      </c>
      <c r="V32" s="484" t="s">
        <v>309</v>
      </c>
      <c r="W32" s="495">
        <v>23655.7</v>
      </c>
      <c r="X32" s="491" t="s">
        <v>309</v>
      </c>
      <c r="Y32" s="484">
        <v>20748.48</v>
      </c>
      <c r="Z32" s="491" t="s">
        <v>309</v>
      </c>
      <c r="AA32" s="484">
        <v>39406.62</v>
      </c>
      <c r="AB32" s="484" t="s">
        <v>309</v>
      </c>
      <c r="AC32" s="493">
        <v>62764.94</v>
      </c>
      <c r="AD32" s="488" t="s">
        <v>309</v>
      </c>
      <c r="AE32" s="494">
        <v>68172.41</v>
      </c>
      <c r="AF32" s="492" t="s">
        <v>309</v>
      </c>
    </row>
    <row r="33" spans="1:32" ht="15">
      <c r="A33" s="482" t="s">
        <v>289</v>
      </c>
      <c r="B33" s="483"/>
      <c r="C33" s="484">
        <v>11603.04</v>
      </c>
      <c r="D33" s="491" t="s">
        <v>309</v>
      </c>
      <c r="E33" s="484">
        <v>9286</v>
      </c>
      <c r="F33" s="491" t="s">
        <v>309</v>
      </c>
      <c r="G33" s="484">
        <v>8831</v>
      </c>
      <c r="H33" s="484" t="s">
        <v>309</v>
      </c>
      <c r="I33" s="493">
        <v>9123</v>
      </c>
      <c r="J33" s="488" t="s">
        <v>309</v>
      </c>
      <c r="K33" s="494">
        <v>10906</v>
      </c>
      <c r="L33" s="484" t="s">
        <v>309</v>
      </c>
      <c r="M33" s="495">
        <v>158927.63</v>
      </c>
      <c r="N33" s="491" t="s">
        <v>309</v>
      </c>
      <c r="O33" s="484">
        <v>127828.99</v>
      </c>
      <c r="P33" s="491" t="s">
        <v>309</v>
      </c>
      <c r="Q33" s="484">
        <v>119038.74</v>
      </c>
      <c r="R33" s="491" t="s">
        <v>309</v>
      </c>
      <c r="S33" s="484">
        <v>105122.42</v>
      </c>
      <c r="T33" s="484" t="s">
        <v>309</v>
      </c>
      <c r="U33" s="493">
        <v>117329.62</v>
      </c>
      <c r="V33" s="484" t="s">
        <v>309</v>
      </c>
      <c r="W33" s="495">
        <v>28147.72</v>
      </c>
      <c r="X33" s="491" t="s">
        <v>309</v>
      </c>
      <c r="Y33" s="484">
        <v>42790.87</v>
      </c>
      <c r="Z33" s="491" t="s">
        <v>309</v>
      </c>
      <c r="AA33" s="484">
        <v>43054.11</v>
      </c>
      <c r="AB33" s="484" t="s">
        <v>309</v>
      </c>
      <c r="AC33" s="493">
        <v>64316.64</v>
      </c>
      <c r="AD33" s="488" t="s">
        <v>309</v>
      </c>
      <c r="AE33" s="494">
        <v>68803.84</v>
      </c>
      <c r="AF33" s="492" t="s">
        <v>309</v>
      </c>
    </row>
    <row r="34" spans="1:32" ht="15">
      <c r="A34" s="482" t="s">
        <v>297</v>
      </c>
      <c r="B34" s="483"/>
      <c r="C34" s="484">
        <v>12633.5</v>
      </c>
      <c r="D34" s="491" t="s">
        <v>309</v>
      </c>
      <c r="E34" s="484">
        <v>12337</v>
      </c>
      <c r="F34" s="491" t="s">
        <v>309</v>
      </c>
      <c r="G34" s="484">
        <v>15147.4</v>
      </c>
      <c r="H34" s="484" t="s">
        <v>309</v>
      </c>
      <c r="I34" s="493">
        <v>15250</v>
      </c>
      <c r="J34" s="488" t="s">
        <v>309</v>
      </c>
      <c r="K34" s="494">
        <v>15735</v>
      </c>
      <c r="L34" s="484" t="s">
        <v>309</v>
      </c>
      <c r="M34" s="495">
        <v>1185.9</v>
      </c>
      <c r="N34" s="491" t="s">
        <v>309</v>
      </c>
      <c r="O34" s="484">
        <v>2153</v>
      </c>
      <c r="P34" s="491" t="s">
        <v>309</v>
      </c>
      <c r="Q34" s="484">
        <v>3313</v>
      </c>
      <c r="R34" s="491" t="s">
        <v>309</v>
      </c>
      <c r="S34" s="484">
        <v>1443</v>
      </c>
      <c r="T34" s="484" t="s">
        <v>309</v>
      </c>
      <c r="U34" s="493">
        <v>7278</v>
      </c>
      <c r="V34" s="484" t="s">
        <v>309</v>
      </c>
      <c r="W34" s="495">
        <v>48502.5</v>
      </c>
      <c r="X34" s="491" t="s">
        <v>309</v>
      </c>
      <c r="Y34" s="484">
        <v>15373</v>
      </c>
      <c r="Z34" s="491" t="s">
        <v>309</v>
      </c>
      <c r="AA34" s="484">
        <v>7932</v>
      </c>
      <c r="AB34" s="484" t="s">
        <v>309</v>
      </c>
      <c r="AC34" s="493">
        <v>18457</v>
      </c>
      <c r="AD34" s="488" t="s">
        <v>309</v>
      </c>
      <c r="AE34" s="494">
        <v>21750</v>
      </c>
      <c r="AF34" s="492" t="s">
        <v>309</v>
      </c>
    </row>
    <row r="35" spans="1:32" ht="15">
      <c r="A35" s="482" t="s">
        <v>319</v>
      </c>
      <c r="B35" s="483"/>
      <c r="C35" s="484">
        <v>3344.1</v>
      </c>
      <c r="D35" s="491" t="s">
        <v>309</v>
      </c>
      <c r="E35" s="484">
        <v>2456.7</v>
      </c>
      <c r="F35" s="491" t="s">
        <v>309</v>
      </c>
      <c r="G35" s="484">
        <v>2921.2</v>
      </c>
      <c r="H35" s="484" t="s">
        <v>309</v>
      </c>
      <c r="I35" s="493">
        <v>3144.8</v>
      </c>
      <c r="J35" s="488" t="s">
        <v>309</v>
      </c>
      <c r="K35" s="494">
        <v>3495</v>
      </c>
      <c r="L35" s="484" t="s">
        <v>309</v>
      </c>
      <c r="M35" s="495">
        <v>474.5</v>
      </c>
      <c r="N35" s="491" t="s">
        <v>309</v>
      </c>
      <c r="O35" s="484">
        <v>352.8</v>
      </c>
      <c r="P35" s="491" t="s">
        <v>309</v>
      </c>
      <c r="Q35" s="484">
        <v>1885.4</v>
      </c>
      <c r="R35" s="491" t="s">
        <v>309</v>
      </c>
      <c r="S35" s="484">
        <v>1369</v>
      </c>
      <c r="T35" s="484" t="s">
        <v>309</v>
      </c>
      <c r="U35" s="493">
        <v>901</v>
      </c>
      <c r="V35" s="484" t="s">
        <v>309</v>
      </c>
      <c r="W35" s="495">
        <v>1883</v>
      </c>
      <c r="X35" s="491" t="s">
        <v>309</v>
      </c>
      <c r="Y35" s="484">
        <v>2406</v>
      </c>
      <c r="Z35" s="491" t="s">
        <v>309</v>
      </c>
      <c r="AA35" s="484">
        <v>3650</v>
      </c>
      <c r="AB35" s="484" t="s">
        <v>309</v>
      </c>
      <c r="AC35" s="493">
        <v>4215</v>
      </c>
      <c r="AD35" s="488" t="s">
        <v>309</v>
      </c>
      <c r="AE35" s="494">
        <v>5996</v>
      </c>
      <c r="AF35" s="492" t="s">
        <v>309</v>
      </c>
    </row>
    <row r="36" spans="1:32" ht="15">
      <c r="A36" s="482" t="s">
        <v>293</v>
      </c>
      <c r="B36" s="483"/>
      <c r="C36" s="484">
        <v>4680</v>
      </c>
      <c r="D36" s="491" t="s">
        <v>309</v>
      </c>
      <c r="E36" s="484">
        <v>5787.9</v>
      </c>
      <c r="F36" s="491" t="s">
        <v>309</v>
      </c>
      <c r="G36" s="484">
        <v>4630</v>
      </c>
      <c r="H36" s="484" t="s">
        <v>309</v>
      </c>
      <c r="I36" s="493">
        <v>5422</v>
      </c>
      <c r="J36" s="488" t="s">
        <v>309</v>
      </c>
      <c r="K36" s="494">
        <v>6276</v>
      </c>
      <c r="L36" s="484" t="s">
        <v>309</v>
      </c>
      <c r="M36" s="495">
        <v>3244.01</v>
      </c>
      <c r="N36" s="491" t="s">
        <v>309</v>
      </c>
      <c r="O36" s="484">
        <v>60031.24</v>
      </c>
      <c r="P36" s="491" t="s">
        <v>309</v>
      </c>
      <c r="Q36" s="484">
        <v>3159.39</v>
      </c>
      <c r="R36" s="491" t="s">
        <v>309</v>
      </c>
      <c r="S36" s="484">
        <v>5017.75</v>
      </c>
      <c r="T36" s="484" t="s">
        <v>309</v>
      </c>
      <c r="U36" s="493">
        <v>7781.97</v>
      </c>
      <c r="V36" s="484" t="s">
        <v>309</v>
      </c>
      <c r="W36" s="495">
        <v>56842.52</v>
      </c>
      <c r="X36" s="491" t="s">
        <v>309</v>
      </c>
      <c r="Y36" s="484">
        <v>59812.33</v>
      </c>
      <c r="Z36" s="491" t="s">
        <v>309</v>
      </c>
      <c r="AA36" s="484">
        <v>49862.75</v>
      </c>
      <c r="AB36" s="484" t="s">
        <v>309</v>
      </c>
      <c r="AC36" s="493">
        <v>59889.42</v>
      </c>
      <c r="AD36" s="488" t="s">
        <v>309</v>
      </c>
      <c r="AE36" s="494">
        <v>59815.48</v>
      </c>
      <c r="AF36" s="492" t="s">
        <v>309</v>
      </c>
    </row>
    <row r="37" spans="1:32" ht="15">
      <c r="A37" s="482" t="s">
        <v>281</v>
      </c>
      <c r="B37" s="483"/>
      <c r="C37" s="484">
        <v>2444.93</v>
      </c>
      <c r="D37" s="491" t="s">
        <v>309</v>
      </c>
      <c r="E37" s="484">
        <v>2375.52</v>
      </c>
      <c r="F37" s="491" t="s">
        <v>309</v>
      </c>
      <c r="G37" s="484">
        <v>2345.27</v>
      </c>
      <c r="H37" s="484" t="s">
        <v>309</v>
      </c>
      <c r="I37" s="493">
        <v>2691.97</v>
      </c>
      <c r="J37" s="488" t="s">
        <v>309</v>
      </c>
      <c r="K37" s="494">
        <v>2747.33</v>
      </c>
      <c r="L37" s="484" t="s">
        <v>309</v>
      </c>
      <c r="M37" s="495">
        <v>22434.84</v>
      </c>
      <c r="N37" s="491" t="s">
        <v>309</v>
      </c>
      <c r="O37" s="484">
        <v>21905.78</v>
      </c>
      <c r="P37" s="491" t="s">
        <v>309</v>
      </c>
      <c r="Q37" s="484">
        <v>27463.3</v>
      </c>
      <c r="R37" s="491" t="s">
        <v>309</v>
      </c>
      <c r="S37" s="484">
        <v>34299.38</v>
      </c>
      <c r="T37" s="484" t="s">
        <v>309</v>
      </c>
      <c r="U37" s="493">
        <v>41816.58</v>
      </c>
      <c r="V37" s="484" t="s">
        <v>309</v>
      </c>
      <c r="W37" s="495">
        <v>12181.9</v>
      </c>
      <c r="X37" s="491" t="s">
        <v>309</v>
      </c>
      <c r="Y37" s="484">
        <v>12371.85</v>
      </c>
      <c r="Z37" s="491" t="s">
        <v>309</v>
      </c>
      <c r="AA37" s="484">
        <v>15249.79</v>
      </c>
      <c r="AB37" s="484" t="s">
        <v>309</v>
      </c>
      <c r="AC37" s="493">
        <v>18274.18</v>
      </c>
      <c r="AD37" s="488" t="s">
        <v>309</v>
      </c>
      <c r="AE37" s="494">
        <v>18088.87</v>
      </c>
      <c r="AF37" s="492" t="s">
        <v>309</v>
      </c>
    </row>
    <row r="38" spans="1:32" ht="15">
      <c r="A38" s="482" t="s">
        <v>288</v>
      </c>
      <c r="B38" s="483"/>
      <c r="C38" s="484">
        <v>17741.32</v>
      </c>
      <c r="D38" s="491" t="s">
        <v>309</v>
      </c>
      <c r="E38" s="484">
        <v>18824</v>
      </c>
      <c r="F38" s="491" t="s">
        <v>309</v>
      </c>
      <c r="G38" s="484">
        <v>18963</v>
      </c>
      <c r="H38" s="484" t="s">
        <v>309</v>
      </c>
      <c r="I38" s="493">
        <v>19039</v>
      </c>
      <c r="J38" s="488" t="s">
        <v>309</v>
      </c>
      <c r="K38" s="494">
        <v>19012</v>
      </c>
      <c r="L38" s="484" t="s">
        <v>309</v>
      </c>
      <c r="M38" s="495">
        <v>271136.95</v>
      </c>
      <c r="N38" s="491" t="s">
        <v>309</v>
      </c>
      <c r="O38" s="484">
        <v>270635.99</v>
      </c>
      <c r="P38" s="491" t="s">
        <v>309</v>
      </c>
      <c r="Q38" s="484">
        <v>222998.96</v>
      </c>
      <c r="R38" s="491" t="s">
        <v>309</v>
      </c>
      <c r="S38" s="484">
        <v>255652.33</v>
      </c>
      <c r="T38" s="484" t="s">
        <v>309</v>
      </c>
      <c r="U38" s="493">
        <v>247502.52</v>
      </c>
      <c r="V38" s="484" t="s">
        <v>309</v>
      </c>
      <c r="W38" s="495">
        <v>13621.28</v>
      </c>
      <c r="X38" s="491" t="s">
        <v>309</v>
      </c>
      <c r="Y38" s="484">
        <v>24366.94</v>
      </c>
      <c r="Z38" s="491" t="s">
        <v>309</v>
      </c>
      <c r="AA38" s="484">
        <v>14238.84</v>
      </c>
      <c r="AB38" s="484" t="s">
        <v>309</v>
      </c>
      <c r="AC38" s="493">
        <v>17905.76</v>
      </c>
      <c r="AD38" s="488" t="s">
        <v>309</v>
      </c>
      <c r="AE38" s="494">
        <v>17812.65</v>
      </c>
      <c r="AF38" s="492" t="s">
        <v>309</v>
      </c>
    </row>
    <row r="39" spans="1:32" ht="15">
      <c r="A39" s="482" t="s">
        <v>1</v>
      </c>
      <c r="B39" s="483"/>
      <c r="C39" s="496">
        <v>73735.72</v>
      </c>
      <c r="D39" s="491" t="s">
        <v>309</v>
      </c>
      <c r="E39" s="484">
        <v>71520.39</v>
      </c>
      <c r="F39" s="484" t="s">
        <v>309</v>
      </c>
      <c r="G39" s="493">
        <v>74985.56</v>
      </c>
      <c r="H39" s="484" t="s">
        <v>309</v>
      </c>
      <c r="I39" s="493">
        <v>75264.01</v>
      </c>
      <c r="J39" s="484" t="s">
        <v>309</v>
      </c>
      <c r="K39" s="493">
        <v>75412.59</v>
      </c>
      <c r="L39" s="484" t="s">
        <v>309</v>
      </c>
      <c r="M39" s="495">
        <v>484197.19</v>
      </c>
      <c r="N39" s="491" t="s">
        <v>309</v>
      </c>
      <c r="O39" s="484">
        <v>365850.43</v>
      </c>
      <c r="P39" s="484" t="s">
        <v>309</v>
      </c>
      <c r="Q39" s="493">
        <v>408015.29</v>
      </c>
      <c r="R39" s="484" t="s">
        <v>309</v>
      </c>
      <c r="S39" s="494">
        <v>465363.91</v>
      </c>
      <c r="T39" s="484" t="s">
        <v>309</v>
      </c>
      <c r="U39" s="493">
        <v>547589.89</v>
      </c>
      <c r="V39" s="484" t="s">
        <v>309</v>
      </c>
      <c r="W39" s="495">
        <v>61146.67</v>
      </c>
      <c r="X39" s="491" t="s">
        <v>309</v>
      </c>
      <c r="Y39" s="484">
        <v>53097.72</v>
      </c>
      <c r="Z39" s="484" t="s">
        <v>309</v>
      </c>
      <c r="AA39" s="493">
        <v>81276.53</v>
      </c>
      <c r="AB39" s="484" t="s">
        <v>309</v>
      </c>
      <c r="AC39" s="493">
        <v>84408.8</v>
      </c>
      <c r="AD39" s="484" t="s">
        <v>309</v>
      </c>
      <c r="AE39" s="494">
        <v>97099.4</v>
      </c>
      <c r="AF39" s="492" t="s">
        <v>309</v>
      </c>
    </row>
    <row r="40" spans="1:32" ht="15">
      <c r="A40" s="482" t="s">
        <v>271</v>
      </c>
      <c r="B40" s="483"/>
      <c r="C40" s="484">
        <v>5787.72</v>
      </c>
      <c r="D40" s="491" t="s">
        <v>309</v>
      </c>
      <c r="E40" s="484">
        <v>2721.3</v>
      </c>
      <c r="F40" s="491" t="s">
        <v>309</v>
      </c>
      <c r="G40" s="484">
        <v>2933.13</v>
      </c>
      <c r="H40" s="484" t="s">
        <v>309</v>
      </c>
      <c r="I40" s="493">
        <v>3716</v>
      </c>
      <c r="J40" s="488" t="s">
        <v>309</v>
      </c>
      <c r="K40" s="494">
        <v>2896.65</v>
      </c>
      <c r="L40" s="484" t="s">
        <v>309</v>
      </c>
      <c r="M40" s="495">
        <v>29564.62</v>
      </c>
      <c r="N40" s="491" t="s">
        <v>309</v>
      </c>
      <c r="O40" s="484">
        <v>19507.33</v>
      </c>
      <c r="P40" s="484" t="s">
        <v>309</v>
      </c>
      <c r="Q40" s="493">
        <v>21285.46</v>
      </c>
      <c r="R40" s="484" t="s">
        <v>309</v>
      </c>
      <c r="S40" s="494">
        <v>21376.87</v>
      </c>
      <c r="T40" s="484" t="s">
        <v>309</v>
      </c>
      <c r="U40" s="493">
        <v>22641.91</v>
      </c>
      <c r="V40" s="484" t="s">
        <v>309</v>
      </c>
      <c r="W40" s="495">
        <v>161726.8</v>
      </c>
      <c r="X40" s="491" t="s">
        <v>309</v>
      </c>
      <c r="Y40" s="484">
        <v>130033.88</v>
      </c>
      <c r="Z40" s="491" t="s">
        <v>309</v>
      </c>
      <c r="AA40" s="484">
        <v>99783.49</v>
      </c>
      <c r="AB40" s="484" t="s">
        <v>309</v>
      </c>
      <c r="AC40" s="493">
        <v>106771.24</v>
      </c>
      <c r="AD40" s="488" t="s">
        <v>309</v>
      </c>
      <c r="AE40" s="494">
        <v>125774.58</v>
      </c>
      <c r="AF40" s="492" t="s">
        <v>309</v>
      </c>
    </row>
    <row r="41" spans="1:32" ht="15">
      <c r="A41" s="482" t="s">
        <v>320</v>
      </c>
      <c r="B41" s="483"/>
      <c r="C41" s="484">
        <v>1091.48</v>
      </c>
      <c r="D41" s="491" t="s">
        <v>309</v>
      </c>
      <c r="E41" s="484">
        <v>744.28</v>
      </c>
      <c r="F41" s="491" t="s">
        <v>309</v>
      </c>
      <c r="G41" s="484">
        <v>721.52</v>
      </c>
      <c r="H41" s="484" t="s">
        <v>309</v>
      </c>
      <c r="I41" s="493">
        <v>803.59</v>
      </c>
      <c r="J41" s="488" t="s">
        <v>309</v>
      </c>
      <c r="K41" s="494">
        <v>820.8</v>
      </c>
      <c r="L41" s="484" t="s">
        <v>309</v>
      </c>
      <c r="M41" s="495">
        <v>1122.6</v>
      </c>
      <c r="N41" s="491" t="s">
        <v>309</v>
      </c>
      <c r="O41" s="484">
        <v>417</v>
      </c>
      <c r="P41" s="491" t="s">
        <v>309</v>
      </c>
      <c r="Q41" s="484">
        <v>367</v>
      </c>
      <c r="R41" s="491" t="s">
        <v>309</v>
      </c>
      <c r="S41" s="484">
        <v>134</v>
      </c>
      <c r="T41" s="484" t="s">
        <v>309</v>
      </c>
      <c r="U41" s="493">
        <v>34.1</v>
      </c>
      <c r="V41" s="484" t="s">
        <v>309</v>
      </c>
      <c r="W41" s="495">
        <v>193.7</v>
      </c>
      <c r="X41" s="491" t="s">
        <v>309</v>
      </c>
      <c r="Y41" s="484">
        <v>602</v>
      </c>
      <c r="Z41" s="491" t="s">
        <v>309</v>
      </c>
      <c r="AA41" s="484">
        <v>471</v>
      </c>
      <c r="AB41" s="484" t="s">
        <v>309</v>
      </c>
      <c r="AC41" s="493">
        <v>963</v>
      </c>
      <c r="AD41" s="488" t="s">
        <v>309</v>
      </c>
      <c r="AE41" s="494">
        <v>1053.12</v>
      </c>
      <c r="AF41" s="492" t="s">
        <v>309</v>
      </c>
    </row>
    <row r="42" spans="1:32" ht="15">
      <c r="A42" s="482" t="s">
        <v>321</v>
      </c>
      <c r="B42" s="483"/>
      <c r="C42" s="484">
        <v>17818.3</v>
      </c>
      <c r="D42" s="491" t="s">
        <v>309</v>
      </c>
      <c r="E42" s="484">
        <v>16266.2</v>
      </c>
      <c r="F42" s="491" t="s">
        <v>309</v>
      </c>
      <c r="G42" s="484">
        <v>17174</v>
      </c>
      <c r="H42" s="484" t="s">
        <v>309</v>
      </c>
      <c r="I42" s="493">
        <v>17192.28</v>
      </c>
      <c r="J42" s="488" t="s">
        <v>309</v>
      </c>
      <c r="K42" s="494">
        <v>18548</v>
      </c>
      <c r="L42" s="484" t="s">
        <v>309</v>
      </c>
      <c r="M42" s="495">
        <v>128616</v>
      </c>
      <c r="N42" s="491" t="s">
        <v>309</v>
      </c>
      <c r="O42" s="484">
        <v>67306</v>
      </c>
      <c r="P42" s="491" t="s">
        <v>309</v>
      </c>
      <c r="Q42" s="484">
        <v>84399</v>
      </c>
      <c r="R42" s="491" t="s">
        <v>309</v>
      </c>
      <c r="S42" s="484">
        <v>109444</v>
      </c>
      <c r="T42" s="484" t="s">
        <v>309</v>
      </c>
      <c r="U42" s="493">
        <v>180162</v>
      </c>
      <c r="V42" s="484" t="s">
        <v>309</v>
      </c>
      <c r="W42" s="495">
        <v>1217</v>
      </c>
      <c r="X42" s="491" t="s">
        <v>309</v>
      </c>
      <c r="Y42" s="484">
        <v>464</v>
      </c>
      <c r="Z42" s="491" t="s">
        <v>309</v>
      </c>
      <c r="AA42" s="484">
        <v>664</v>
      </c>
      <c r="AB42" s="484" t="s">
        <v>309</v>
      </c>
      <c r="AC42" s="493">
        <v>2778.18</v>
      </c>
      <c r="AD42" s="488" t="s">
        <v>309</v>
      </c>
      <c r="AE42" s="494">
        <v>2157</v>
      </c>
      <c r="AF42" s="492" t="s">
        <v>309</v>
      </c>
    </row>
    <row r="43" spans="1:32" ht="15">
      <c r="A43" s="482" t="s">
        <v>199</v>
      </c>
      <c r="B43" s="483"/>
      <c r="C43" s="484">
        <v>7758</v>
      </c>
      <c r="D43" s="491" t="s">
        <v>309</v>
      </c>
      <c r="E43" s="484">
        <v>8022.44</v>
      </c>
      <c r="F43" s="491" t="s">
        <v>309</v>
      </c>
      <c r="G43" s="484">
        <v>8137.43</v>
      </c>
      <c r="H43" s="484" t="s">
        <v>309</v>
      </c>
      <c r="I43" s="493">
        <v>8338.82</v>
      </c>
      <c r="J43" s="488" t="s">
        <v>309</v>
      </c>
      <c r="K43" s="494">
        <v>8425.66</v>
      </c>
      <c r="L43" s="484" t="s">
        <v>309</v>
      </c>
      <c r="M43" s="495">
        <v>70539.9</v>
      </c>
      <c r="N43" s="491" t="s">
        <v>309</v>
      </c>
      <c r="O43" s="484">
        <v>78345.19</v>
      </c>
      <c r="P43" s="491" t="s">
        <v>309</v>
      </c>
      <c r="Q43" s="484">
        <v>87861.9</v>
      </c>
      <c r="R43" s="491" t="s">
        <v>309</v>
      </c>
      <c r="S43" s="484">
        <v>122741.31</v>
      </c>
      <c r="T43" s="484" t="s">
        <v>309</v>
      </c>
      <c r="U43" s="493">
        <v>124032.74</v>
      </c>
      <c r="V43" s="484" t="s">
        <v>309</v>
      </c>
      <c r="W43" s="495">
        <v>21336.69</v>
      </c>
      <c r="X43" s="491" t="s">
        <v>309</v>
      </c>
      <c r="Y43" s="484">
        <v>13360.68</v>
      </c>
      <c r="Z43" s="491" t="s">
        <v>309</v>
      </c>
      <c r="AA43" s="484">
        <v>14375.74</v>
      </c>
      <c r="AB43" s="484" t="s">
        <v>309</v>
      </c>
      <c r="AC43" s="493">
        <v>23811.58</v>
      </c>
      <c r="AD43" s="488" t="s">
        <v>309</v>
      </c>
      <c r="AE43" s="494">
        <v>40348.43</v>
      </c>
      <c r="AF43" s="492" t="s">
        <v>309</v>
      </c>
    </row>
    <row r="44" spans="1:32" ht="15.75">
      <c r="A44" s="497" t="s">
        <v>322</v>
      </c>
      <c r="B44" s="498"/>
      <c r="C44" s="499">
        <v>393131.1</v>
      </c>
      <c r="D44" s="500" t="s">
        <v>309</v>
      </c>
      <c r="E44" s="499">
        <v>367486.58</v>
      </c>
      <c r="F44" s="500" t="s">
        <v>309</v>
      </c>
      <c r="G44" s="499">
        <v>371731.56</v>
      </c>
      <c r="H44" s="499" t="s">
        <v>309</v>
      </c>
      <c r="I44" s="501">
        <v>388266.61</v>
      </c>
      <c r="J44" s="499" t="s">
        <v>309</v>
      </c>
      <c r="K44" s="502">
        <v>401147.41</v>
      </c>
      <c r="L44" s="499" t="s">
        <v>309</v>
      </c>
      <c r="M44" s="503">
        <v>3361770.75</v>
      </c>
      <c r="N44" s="500" t="s">
        <v>309</v>
      </c>
      <c r="O44" s="499">
        <v>3118049.33</v>
      </c>
      <c r="P44" s="500" t="s">
        <v>309</v>
      </c>
      <c r="Q44" s="499">
        <v>3039096.98</v>
      </c>
      <c r="R44" s="500" t="s">
        <v>309</v>
      </c>
      <c r="S44" s="499">
        <v>3563258.21</v>
      </c>
      <c r="T44" s="499" t="s">
        <v>309</v>
      </c>
      <c r="U44" s="501">
        <v>4074980.85</v>
      </c>
      <c r="V44" s="499" t="s">
        <v>309</v>
      </c>
      <c r="W44" s="503">
        <v>1783960.18</v>
      </c>
      <c r="X44" s="500" t="s">
        <v>309</v>
      </c>
      <c r="Y44" s="499">
        <v>1526214.21</v>
      </c>
      <c r="Z44" s="500" t="s">
        <v>309</v>
      </c>
      <c r="AA44" s="499">
        <v>1474652.67</v>
      </c>
      <c r="AB44" s="499" t="s">
        <v>309</v>
      </c>
      <c r="AC44" s="501">
        <v>1798432.24</v>
      </c>
      <c r="AD44" s="499" t="s">
        <v>309</v>
      </c>
      <c r="AE44" s="502">
        <v>1971136.94</v>
      </c>
      <c r="AF44" s="504" t="s">
        <v>309</v>
      </c>
    </row>
    <row r="45" spans="1:32" ht="15.75">
      <c r="A45" s="497" t="s">
        <v>398</v>
      </c>
      <c r="B45" s="498"/>
      <c r="C45" s="499">
        <f>C7+C13+C16+C17+C18+C27+C30+C31+C37+C39+C40+C43</f>
        <v>297995.17999999993</v>
      </c>
      <c r="D45" s="499"/>
      <c r="E45" s="499">
        <f aca="true" t="shared" si="0" ref="E45:K45">E7+E13+E16+E17+E18+E27+E30+E31+E37+E39+E40+E43</f>
        <v>272689.32999999996</v>
      </c>
      <c r="F45" s="499"/>
      <c r="G45" s="499">
        <f t="shared" si="0"/>
        <v>277678.99999999994</v>
      </c>
      <c r="H45" s="499"/>
      <c r="I45" s="499">
        <f t="shared" si="0"/>
        <v>289363.89</v>
      </c>
      <c r="J45" s="499"/>
      <c r="K45" s="499">
        <f t="shared" si="0"/>
        <v>295611.06</v>
      </c>
      <c r="L45" s="499"/>
      <c r="M45" s="503"/>
      <c r="N45" s="500"/>
      <c r="O45" s="499"/>
      <c r="P45" s="500"/>
      <c r="Q45" s="499"/>
      <c r="R45" s="500"/>
      <c r="S45" s="499"/>
      <c r="T45" s="499"/>
      <c r="U45" s="501"/>
      <c r="V45" s="499"/>
      <c r="W45" s="503"/>
      <c r="X45" s="500"/>
      <c r="Y45" s="499"/>
      <c r="Z45" s="500"/>
      <c r="AA45" s="499"/>
      <c r="AB45" s="499"/>
      <c r="AC45" s="501"/>
      <c r="AD45" s="499"/>
      <c r="AE45" s="502"/>
      <c r="AF45" s="504"/>
    </row>
    <row r="46" spans="1:32" s="514" customFormat="1" ht="15.75">
      <c r="A46" s="760"/>
      <c r="B46" s="761"/>
      <c r="C46" s="762">
        <f>C45/C44</f>
        <v>0.7580045943961187</v>
      </c>
      <c r="D46" s="762"/>
      <c r="E46" s="762">
        <f aca="true" t="shared" si="1" ref="E46:K46">E45/E44</f>
        <v>0.7420388793517302</v>
      </c>
      <c r="F46" s="762"/>
      <c r="G46" s="762">
        <f t="shared" si="1"/>
        <v>0.7469879608823097</v>
      </c>
      <c r="H46" s="762"/>
      <c r="I46" s="762">
        <f t="shared" si="1"/>
        <v>0.7452711166690332</v>
      </c>
      <c r="J46" s="762"/>
      <c r="K46" s="762">
        <f t="shared" si="1"/>
        <v>0.7369137943580392</v>
      </c>
      <c r="L46" s="762"/>
      <c r="M46" s="763"/>
      <c r="N46" s="764"/>
      <c r="O46" s="762"/>
      <c r="P46" s="764"/>
      <c r="Q46" s="762"/>
      <c r="R46" s="764"/>
      <c r="S46" s="762"/>
      <c r="T46" s="762"/>
      <c r="U46" s="765"/>
      <c r="V46" s="762"/>
      <c r="W46" s="763"/>
      <c r="X46" s="764"/>
      <c r="Y46" s="762"/>
      <c r="Z46" s="764"/>
      <c r="AA46" s="762"/>
      <c r="AB46" s="762"/>
      <c r="AC46" s="765"/>
      <c r="AD46" s="762"/>
      <c r="AE46" s="766"/>
      <c r="AF46" s="767"/>
    </row>
    <row r="47" spans="1:32" ht="15.75">
      <c r="A47" s="505" t="s">
        <v>323</v>
      </c>
      <c r="B47" s="498"/>
      <c r="C47" s="499">
        <v>457480.92</v>
      </c>
      <c r="D47" s="500" t="s">
        <v>309</v>
      </c>
      <c r="E47" s="499">
        <v>424423.84</v>
      </c>
      <c r="F47" s="500" t="s">
        <v>309</v>
      </c>
      <c r="G47" s="499">
        <v>433924.9</v>
      </c>
      <c r="H47" s="499" t="s">
        <v>309</v>
      </c>
      <c r="I47" s="501">
        <v>451873.73</v>
      </c>
      <c r="J47" s="499" t="s">
        <v>309</v>
      </c>
      <c r="K47" s="502">
        <v>466554.23</v>
      </c>
      <c r="L47" s="499" t="s">
        <v>309</v>
      </c>
      <c r="M47" s="503">
        <v>3689167.01</v>
      </c>
      <c r="N47" s="500" t="s">
        <v>309</v>
      </c>
      <c r="O47" s="499">
        <v>3354940.36</v>
      </c>
      <c r="P47" s="500" t="s">
        <v>309</v>
      </c>
      <c r="Q47" s="499">
        <v>3292924.73</v>
      </c>
      <c r="R47" s="500" t="s">
        <v>309</v>
      </c>
      <c r="S47" s="499">
        <v>3876281.75</v>
      </c>
      <c r="T47" s="499" t="s">
        <v>309</v>
      </c>
      <c r="U47" s="501">
        <v>4485252.46</v>
      </c>
      <c r="V47" s="499" t="s">
        <v>309</v>
      </c>
      <c r="W47" s="503">
        <v>2053361.11</v>
      </c>
      <c r="X47" s="500" t="s">
        <v>309</v>
      </c>
      <c r="Y47" s="499">
        <v>1730792.54</v>
      </c>
      <c r="Z47" s="500" t="s">
        <v>309</v>
      </c>
      <c r="AA47" s="499">
        <v>1642820.96</v>
      </c>
      <c r="AB47" s="499" t="s">
        <v>309</v>
      </c>
      <c r="AC47" s="501">
        <v>1984783.07</v>
      </c>
      <c r="AD47" s="499" t="s">
        <v>309</v>
      </c>
      <c r="AE47" s="502">
        <v>2194770.24</v>
      </c>
      <c r="AF47" s="504" t="s">
        <v>309</v>
      </c>
    </row>
    <row r="48" spans="1:32" ht="15">
      <c r="A48" s="482" t="s">
        <v>324</v>
      </c>
      <c r="B48" s="483"/>
      <c r="C48" s="484">
        <v>57.4</v>
      </c>
      <c r="D48" s="491" t="s">
        <v>309</v>
      </c>
      <c r="E48" s="484">
        <v>52</v>
      </c>
      <c r="F48" s="491" t="s">
        <v>309</v>
      </c>
      <c r="G48" s="484">
        <v>55</v>
      </c>
      <c r="H48" s="484" t="s">
        <v>309</v>
      </c>
      <c r="I48" s="493">
        <v>63</v>
      </c>
      <c r="J48" s="488" t="s">
        <v>309</v>
      </c>
      <c r="K48" s="494">
        <v>68.5</v>
      </c>
      <c r="L48" s="484" t="s">
        <v>309</v>
      </c>
      <c r="M48" s="495" t="s">
        <v>310</v>
      </c>
      <c r="N48" s="491" t="s">
        <v>106</v>
      </c>
      <c r="O48" s="484">
        <v>637</v>
      </c>
      <c r="P48" s="491" t="s">
        <v>309</v>
      </c>
      <c r="Q48" s="484">
        <v>206</v>
      </c>
      <c r="R48" s="491" t="s">
        <v>309</v>
      </c>
      <c r="S48" s="484">
        <v>37</v>
      </c>
      <c r="T48" s="484" t="s">
        <v>309</v>
      </c>
      <c r="U48" s="493">
        <v>91.4</v>
      </c>
      <c r="V48" s="484" t="s">
        <v>309</v>
      </c>
      <c r="W48" s="495" t="s">
        <v>310</v>
      </c>
      <c r="X48" s="491" t="s">
        <v>106</v>
      </c>
      <c r="Y48" s="484">
        <v>62</v>
      </c>
      <c r="Z48" s="491" t="s">
        <v>309</v>
      </c>
      <c r="AA48" s="484">
        <v>91</v>
      </c>
      <c r="AB48" s="484" t="s">
        <v>309</v>
      </c>
      <c r="AC48" s="493">
        <v>291</v>
      </c>
      <c r="AD48" s="488" t="s">
        <v>309</v>
      </c>
      <c r="AE48" s="494">
        <v>68.9</v>
      </c>
      <c r="AF48" s="492" t="s">
        <v>309</v>
      </c>
    </row>
    <row r="49" spans="1:32" ht="15">
      <c r="A49" s="482" t="s">
        <v>325</v>
      </c>
      <c r="B49" s="483"/>
      <c r="C49" s="484">
        <v>13</v>
      </c>
      <c r="D49" s="491" t="s">
        <v>309</v>
      </c>
      <c r="E49" s="484">
        <v>13.6</v>
      </c>
      <c r="F49" s="491" t="s">
        <v>309</v>
      </c>
      <c r="G49" s="484">
        <v>14.94</v>
      </c>
      <c r="H49" s="484" t="s">
        <v>309</v>
      </c>
      <c r="I49" s="493">
        <v>21.61</v>
      </c>
      <c r="J49" s="488" t="s">
        <v>309</v>
      </c>
      <c r="K49" s="494">
        <v>19.9</v>
      </c>
      <c r="L49" s="484" t="s">
        <v>309</v>
      </c>
      <c r="M49" s="495">
        <v>60.7</v>
      </c>
      <c r="N49" s="491" t="s">
        <v>309</v>
      </c>
      <c r="O49" s="484">
        <v>59.6</v>
      </c>
      <c r="P49" s="491" t="s">
        <v>309</v>
      </c>
      <c r="Q49" s="484">
        <v>72.58</v>
      </c>
      <c r="R49" s="491" t="s">
        <v>309</v>
      </c>
      <c r="S49" s="484">
        <v>439.2</v>
      </c>
      <c r="T49" s="484" t="s">
        <v>309</v>
      </c>
      <c r="U49" s="493">
        <v>389.5</v>
      </c>
      <c r="V49" s="484" t="s">
        <v>309</v>
      </c>
      <c r="W49" s="495">
        <v>170.8</v>
      </c>
      <c r="X49" s="491" t="s">
        <v>309</v>
      </c>
      <c r="Y49" s="484">
        <v>67.2</v>
      </c>
      <c r="Z49" s="491" t="s">
        <v>309</v>
      </c>
      <c r="AA49" s="484" t="s">
        <v>279</v>
      </c>
      <c r="AB49" s="484" t="s">
        <v>309</v>
      </c>
      <c r="AC49" s="493" t="s">
        <v>279</v>
      </c>
      <c r="AD49" s="488" t="s">
        <v>309</v>
      </c>
      <c r="AE49" s="494" t="s">
        <v>279</v>
      </c>
      <c r="AF49" s="492" t="s">
        <v>309</v>
      </c>
    </row>
    <row r="50" spans="1:32" ht="15">
      <c r="A50" s="482" t="s">
        <v>326</v>
      </c>
      <c r="B50" s="483"/>
      <c r="C50" s="484">
        <v>5296.1</v>
      </c>
      <c r="D50" s="491" t="s">
        <v>309</v>
      </c>
      <c r="E50" s="484">
        <v>5483.7</v>
      </c>
      <c r="F50" s="491" t="s">
        <v>309</v>
      </c>
      <c r="G50" s="484">
        <v>5736.5</v>
      </c>
      <c r="H50" s="484" t="s">
        <v>309</v>
      </c>
      <c r="I50" s="493">
        <v>6101.75</v>
      </c>
      <c r="J50" s="488" t="s">
        <v>309</v>
      </c>
      <c r="K50" s="494">
        <v>6101.75</v>
      </c>
      <c r="L50" s="484" t="s">
        <v>309</v>
      </c>
      <c r="M50" s="495">
        <v>4141.2</v>
      </c>
      <c r="N50" s="491" t="s">
        <v>309</v>
      </c>
      <c r="O50" s="484">
        <v>3724.8</v>
      </c>
      <c r="P50" s="491" t="s">
        <v>309</v>
      </c>
      <c r="Q50" s="484">
        <v>5282.5</v>
      </c>
      <c r="R50" s="491" t="s">
        <v>309</v>
      </c>
      <c r="S50" s="484">
        <v>3088.5</v>
      </c>
      <c r="T50" s="484" t="s">
        <v>309</v>
      </c>
      <c r="U50" s="493">
        <v>3088.5</v>
      </c>
      <c r="V50" s="484" t="s">
        <v>309</v>
      </c>
      <c r="W50" s="495">
        <v>21078.3</v>
      </c>
      <c r="X50" s="491" t="s">
        <v>309</v>
      </c>
      <c r="Y50" s="484">
        <v>22935.4</v>
      </c>
      <c r="Z50" s="491" t="s">
        <v>309</v>
      </c>
      <c r="AA50" s="484">
        <v>27686.8</v>
      </c>
      <c r="AB50" s="484" t="s">
        <v>309</v>
      </c>
      <c r="AC50" s="493">
        <v>35677.2</v>
      </c>
      <c r="AD50" s="488" t="s">
        <v>309</v>
      </c>
      <c r="AE50" s="494">
        <v>35677.2</v>
      </c>
      <c r="AF50" s="492" t="s">
        <v>309</v>
      </c>
    </row>
    <row r="51" spans="1:32" ht="15">
      <c r="A51" s="482" t="s">
        <v>328</v>
      </c>
      <c r="B51" s="483"/>
      <c r="C51" s="484">
        <v>162.45</v>
      </c>
      <c r="D51" s="491" t="s">
        <v>309</v>
      </c>
      <c r="E51" s="484">
        <v>262.95</v>
      </c>
      <c r="F51" s="491" t="s">
        <v>309</v>
      </c>
      <c r="G51" s="484">
        <v>616.6</v>
      </c>
      <c r="H51" s="484" t="s">
        <v>309</v>
      </c>
      <c r="I51" s="493">
        <v>463.6</v>
      </c>
      <c r="J51" s="488" t="s">
        <v>309</v>
      </c>
      <c r="K51" s="494">
        <v>457</v>
      </c>
      <c r="L51" s="484" t="s">
        <v>309</v>
      </c>
      <c r="M51" s="495">
        <v>2654.8</v>
      </c>
      <c r="N51" s="491" t="s">
        <v>309</v>
      </c>
      <c r="O51" s="484">
        <v>2654.8</v>
      </c>
      <c r="P51" s="491" t="s">
        <v>309</v>
      </c>
      <c r="Q51" s="484">
        <v>3407.2</v>
      </c>
      <c r="R51" s="491" t="s">
        <v>309</v>
      </c>
      <c r="S51" s="484">
        <v>4656.2</v>
      </c>
      <c r="T51" s="484" t="s">
        <v>309</v>
      </c>
      <c r="U51" s="493">
        <v>6083.4</v>
      </c>
      <c r="V51" s="484" t="s">
        <v>309</v>
      </c>
      <c r="W51" s="495">
        <v>30291</v>
      </c>
      <c r="X51" s="491" t="s">
        <v>309</v>
      </c>
      <c r="Y51" s="484">
        <v>30291</v>
      </c>
      <c r="Z51" s="491" t="s">
        <v>309</v>
      </c>
      <c r="AA51" s="484">
        <v>163.4</v>
      </c>
      <c r="AB51" s="484" t="s">
        <v>309</v>
      </c>
      <c r="AC51" s="493" t="s">
        <v>279</v>
      </c>
      <c r="AD51" s="488" t="s">
        <v>309</v>
      </c>
      <c r="AE51" s="494">
        <v>3.93</v>
      </c>
      <c r="AF51" s="492" t="s">
        <v>309</v>
      </c>
    </row>
    <row r="52" spans="1:32" ht="15">
      <c r="A52" s="482" t="s">
        <v>329</v>
      </c>
      <c r="B52" s="483"/>
      <c r="C52" s="484">
        <v>49.05</v>
      </c>
      <c r="D52" s="491" t="s">
        <v>309</v>
      </c>
      <c r="E52" s="484">
        <v>44.71</v>
      </c>
      <c r="F52" s="491" t="s">
        <v>309</v>
      </c>
      <c r="G52" s="484">
        <v>38</v>
      </c>
      <c r="H52" s="484" t="s">
        <v>309</v>
      </c>
      <c r="I52" s="493">
        <v>40</v>
      </c>
      <c r="J52" s="488" t="s">
        <v>309</v>
      </c>
      <c r="K52" s="494">
        <v>34.78</v>
      </c>
      <c r="L52" s="484" t="s">
        <v>309</v>
      </c>
      <c r="M52" s="495">
        <v>151.2</v>
      </c>
      <c r="N52" s="491" t="s">
        <v>309</v>
      </c>
      <c r="O52" s="484">
        <v>80.9</v>
      </c>
      <c r="P52" s="491" t="s">
        <v>309</v>
      </c>
      <c r="Q52" s="484">
        <v>49</v>
      </c>
      <c r="R52" s="491" t="s">
        <v>309</v>
      </c>
      <c r="S52" s="484">
        <v>194</v>
      </c>
      <c r="T52" s="484" t="s">
        <v>309</v>
      </c>
      <c r="U52" s="493">
        <v>638</v>
      </c>
      <c r="V52" s="484" t="s">
        <v>309</v>
      </c>
      <c r="W52" s="495">
        <v>0.6</v>
      </c>
      <c r="X52" s="491" t="s">
        <v>309</v>
      </c>
      <c r="Y52" s="484">
        <v>18.5</v>
      </c>
      <c r="Z52" s="491" t="s">
        <v>309</v>
      </c>
      <c r="AA52" s="484">
        <v>46</v>
      </c>
      <c r="AB52" s="484" t="s">
        <v>309</v>
      </c>
      <c r="AC52" s="493">
        <v>60</v>
      </c>
      <c r="AD52" s="488" t="s">
        <v>309</v>
      </c>
      <c r="AE52" s="494">
        <v>256.8</v>
      </c>
      <c r="AF52" s="492" t="s">
        <v>309</v>
      </c>
    </row>
    <row r="53" spans="1:32" ht="15">
      <c r="A53" s="482" t="s">
        <v>330</v>
      </c>
      <c r="B53" s="483"/>
      <c r="C53" s="484">
        <v>88.5</v>
      </c>
      <c r="D53" s="491" t="s">
        <v>309</v>
      </c>
      <c r="E53" s="484">
        <v>87</v>
      </c>
      <c r="F53" s="491" t="s">
        <v>309</v>
      </c>
      <c r="G53" s="484">
        <v>87</v>
      </c>
      <c r="H53" s="484" t="s">
        <v>309</v>
      </c>
      <c r="I53" s="493">
        <v>87</v>
      </c>
      <c r="J53" s="488" t="s">
        <v>309</v>
      </c>
      <c r="K53" s="494">
        <v>87</v>
      </c>
      <c r="L53" s="484" t="s">
        <v>309</v>
      </c>
      <c r="M53" s="495" t="s">
        <v>310</v>
      </c>
      <c r="N53" s="491" t="s">
        <v>106</v>
      </c>
      <c r="O53" s="484" t="s">
        <v>310</v>
      </c>
      <c r="P53" s="491" t="s">
        <v>106</v>
      </c>
      <c r="Q53" s="484" t="s">
        <v>310</v>
      </c>
      <c r="R53" s="491" t="s">
        <v>106</v>
      </c>
      <c r="S53" s="484" t="s">
        <v>310</v>
      </c>
      <c r="T53" s="484" t="s">
        <v>106</v>
      </c>
      <c r="U53" s="493" t="s">
        <v>310</v>
      </c>
      <c r="V53" s="484" t="s">
        <v>106</v>
      </c>
      <c r="W53" s="495">
        <v>9.3</v>
      </c>
      <c r="X53" s="491" t="s">
        <v>309</v>
      </c>
      <c r="Y53" s="484">
        <v>9.3</v>
      </c>
      <c r="Z53" s="491" t="s">
        <v>309</v>
      </c>
      <c r="AA53" s="484">
        <v>9.3</v>
      </c>
      <c r="AB53" s="484" t="s">
        <v>309</v>
      </c>
      <c r="AC53" s="493">
        <v>9.3</v>
      </c>
      <c r="AD53" s="488" t="s">
        <v>309</v>
      </c>
      <c r="AE53" s="494">
        <v>9.3</v>
      </c>
      <c r="AF53" s="492" t="s">
        <v>309</v>
      </c>
    </row>
    <row r="54" spans="1:32" ht="15">
      <c r="A54" s="482" t="s">
        <v>331</v>
      </c>
      <c r="B54" s="483"/>
      <c r="C54" s="484">
        <v>126578</v>
      </c>
      <c r="D54" s="491" t="s">
        <v>309</v>
      </c>
      <c r="E54" s="484">
        <v>132452</v>
      </c>
      <c r="F54" s="491" t="s">
        <v>309</v>
      </c>
      <c r="G54" s="484">
        <v>127458.9</v>
      </c>
      <c r="H54" s="484" t="s">
        <v>309</v>
      </c>
      <c r="I54" s="493">
        <v>137048</v>
      </c>
      <c r="J54" s="488" t="s">
        <v>309</v>
      </c>
      <c r="K54" s="494">
        <v>141162</v>
      </c>
      <c r="L54" s="484" t="s">
        <v>309</v>
      </c>
      <c r="M54" s="495">
        <v>13330</v>
      </c>
      <c r="N54" s="491" t="s">
        <v>309</v>
      </c>
      <c r="O54" s="484">
        <v>13274</v>
      </c>
      <c r="P54" s="491" t="s">
        <v>309</v>
      </c>
      <c r="Q54" s="484">
        <v>5800</v>
      </c>
      <c r="R54" s="491" t="s">
        <v>309</v>
      </c>
      <c r="S54" s="484">
        <v>19776</v>
      </c>
      <c r="T54" s="484" t="s">
        <v>309</v>
      </c>
      <c r="U54" s="493">
        <v>26126</v>
      </c>
      <c r="V54" s="484" t="s">
        <v>309</v>
      </c>
      <c r="W54" s="495">
        <v>1356630</v>
      </c>
      <c r="X54" s="491" t="s">
        <v>309</v>
      </c>
      <c r="Y54" s="484">
        <v>1411353</v>
      </c>
      <c r="Z54" s="491" t="s">
        <v>309</v>
      </c>
      <c r="AA54" s="484">
        <v>1667200</v>
      </c>
      <c r="AB54" s="484" t="s">
        <v>309</v>
      </c>
      <c r="AC54" s="493">
        <v>1806958</v>
      </c>
      <c r="AD54" s="488" t="s">
        <v>309</v>
      </c>
      <c r="AE54" s="494">
        <v>2342400</v>
      </c>
      <c r="AF54" s="492" t="s">
        <v>309</v>
      </c>
    </row>
    <row r="55" spans="1:32" ht="15">
      <c r="A55" s="482" t="s">
        <v>378</v>
      </c>
      <c r="B55" s="483"/>
      <c r="C55" s="484">
        <v>2.5</v>
      </c>
      <c r="D55" s="491" t="s">
        <v>309</v>
      </c>
      <c r="E55" s="484">
        <v>2.5</v>
      </c>
      <c r="F55" s="491" t="s">
        <v>309</v>
      </c>
      <c r="G55" s="484">
        <v>3.4</v>
      </c>
      <c r="H55" s="484" t="s">
        <v>309</v>
      </c>
      <c r="I55" s="493">
        <v>3.4</v>
      </c>
      <c r="J55" s="488" t="s">
        <v>309</v>
      </c>
      <c r="K55" s="494">
        <v>3.4</v>
      </c>
      <c r="L55" s="484" t="s">
        <v>309</v>
      </c>
      <c r="M55" s="495" t="s">
        <v>310</v>
      </c>
      <c r="N55" s="491" t="s">
        <v>106</v>
      </c>
      <c r="O55" s="484" t="s">
        <v>310</v>
      </c>
      <c r="P55" s="491" t="s">
        <v>106</v>
      </c>
      <c r="Q55" s="484" t="s">
        <v>310</v>
      </c>
      <c r="R55" s="491" t="s">
        <v>106</v>
      </c>
      <c r="S55" s="484" t="s">
        <v>310</v>
      </c>
      <c r="T55" s="484" t="s">
        <v>106</v>
      </c>
      <c r="U55" s="493" t="s">
        <v>310</v>
      </c>
      <c r="V55" s="484" t="s">
        <v>106</v>
      </c>
      <c r="W55" s="495" t="s">
        <v>310</v>
      </c>
      <c r="X55" s="491" t="s">
        <v>106</v>
      </c>
      <c r="Y55" s="484" t="s">
        <v>310</v>
      </c>
      <c r="Z55" s="491" t="s">
        <v>106</v>
      </c>
      <c r="AA55" s="484" t="s">
        <v>310</v>
      </c>
      <c r="AB55" s="484" t="s">
        <v>106</v>
      </c>
      <c r="AC55" s="493" t="s">
        <v>310</v>
      </c>
      <c r="AD55" s="488" t="s">
        <v>106</v>
      </c>
      <c r="AE55" s="494" t="s">
        <v>310</v>
      </c>
      <c r="AF55" s="492" t="s">
        <v>106</v>
      </c>
    </row>
    <row r="56" spans="1:32" ht="15">
      <c r="A56" s="482" t="s">
        <v>332</v>
      </c>
      <c r="B56" s="483"/>
      <c r="C56" s="484">
        <v>9073.29</v>
      </c>
      <c r="D56" s="491" t="s">
        <v>309</v>
      </c>
      <c r="E56" s="484">
        <v>8909.75</v>
      </c>
      <c r="F56" s="491" t="s">
        <v>309</v>
      </c>
      <c r="G56" s="484">
        <v>10605.43</v>
      </c>
      <c r="H56" s="484" t="s">
        <v>309</v>
      </c>
      <c r="I56" s="493">
        <v>11733.26</v>
      </c>
      <c r="J56" s="488" t="s">
        <v>309</v>
      </c>
      <c r="K56" s="494">
        <v>12020.14</v>
      </c>
      <c r="L56" s="484" t="s">
        <v>309</v>
      </c>
      <c r="M56" s="495">
        <v>4739.34</v>
      </c>
      <c r="N56" s="491" t="s">
        <v>309</v>
      </c>
      <c r="O56" s="484">
        <v>5069.75</v>
      </c>
      <c r="P56" s="491" t="s">
        <v>309</v>
      </c>
      <c r="Q56" s="484">
        <v>4256.88</v>
      </c>
      <c r="R56" s="491" t="s">
        <v>309</v>
      </c>
      <c r="S56" s="484">
        <v>6477.77</v>
      </c>
      <c r="T56" s="484" t="s">
        <v>309</v>
      </c>
      <c r="U56" s="493">
        <v>8129.69</v>
      </c>
      <c r="V56" s="484" t="s">
        <v>309</v>
      </c>
      <c r="W56" s="495">
        <v>73083.6</v>
      </c>
      <c r="X56" s="491" t="s">
        <v>309</v>
      </c>
      <c r="Y56" s="484">
        <v>54637.99</v>
      </c>
      <c r="Z56" s="491" t="s">
        <v>309</v>
      </c>
      <c r="AA56" s="484">
        <v>64601.33</v>
      </c>
      <c r="AB56" s="484" t="s">
        <v>309</v>
      </c>
      <c r="AC56" s="493">
        <v>90735.66</v>
      </c>
      <c r="AD56" s="488" t="s">
        <v>309</v>
      </c>
      <c r="AE56" s="494">
        <v>133860.74</v>
      </c>
      <c r="AF56" s="492" t="s">
        <v>309</v>
      </c>
    </row>
    <row r="57" spans="1:32" ht="15">
      <c r="A57" s="482" t="s">
        <v>333</v>
      </c>
      <c r="B57" s="483"/>
      <c r="C57" s="484">
        <v>100.23</v>
      </c>
      <c r="D57" s="491" t="s">
        <v>309</v>
      </c>
      <c r="E57" s="484">
        <v>97.4</v>
      </c>
      <c r="F57" s="491" t="s">
        <v>309</v>
      </c>
      <c r="G57" s="484">
        <v>82.69</v>
      </c>
      <c r="H57" s="484" t="s">
        <v>309</v>
      </c>
      <c r="I57" s="493">
        <v>259.7</v>
      </c>
      <c r="J57" s="488" t="s">
        <v>309</v>
      </c>
      <c r="K57" s="494">
        <v>258.4</v>
      </c>
      <c r="L57" s="484" t="s">
        <v>309</v>
      </c>
      <c r="M57" s="495">
        <v>5355.9</v>
      </c>
      <c r="N57" s="491" t="s">
        <v>309</v>
      </c>
      <c r="O57" s="484">
        <v>3028.2</v>
      </c>
      <c r="P57" s="491" t="s">
        <v>309</v>
      </c>
      <c r="Q57" s="484">
        <v>2274.2</v>
      </c>
      <c r="R57" s="491" t="s">
        <v>309</v>
      </c>
      <c r="S57" s="484">
        <v>5328.1</v>
      </c>
      <c r="T57" s="484" t="s">
        <v>309</v>
      </c>
      <c r="U57" s="493">
        <v>5328.1</v>
      </c>
      <c r="V57" s="484" t="s">
        <v>309</v>
      </c>
      <c r="W57" s="495">
        <v>117</v>
      </c>
      <c r="X57" s="491" t="s">
        <v>309</v>
      </c>
      <c r="Y57" s="484">
        <v>53</v>
      </c>
      <c r="Z57" s="491" t="s">
        <v>309</v>
      </c>
      <c r="AA57" s="484">
        <v>44.2</v>
      </c>
      <c r="AB57" s="484" t="s">
        <v>309</v>
      </c>
      <c r="AC57" s="493">
        <v>96.4</v>
      </c>
      <c r="AD57" s="488" t="s">
        <v>309</v>
      </c>
      <c r="AE57" s="494">
        <v>96.4</v>
      </c>
      <c r="AF57" s="492" t="s">
        <v>309</v>
      </c>
    </row>
    <row r="58" spans="1:32" ht="15.75">
      <c r="A58" s="505" t="s">
        <v>334</v>
      </c>
      <c r="B58" s="498"/>
      <c r="C58" s="499">
        <v>141419.34</v>
      </c>
      <c r="D58" s="500" t="s">
        <v>309</v>
      </c>
      <c r="E58" s="499">
        <v>147404.44</v>
      </c>
      <c r="F58" s="500" t="s">
        <v>309</v>
      </c>
      <c r="G58" s="499">
        <v>144697.29</v>
      </c>
      <c r="H58" s="499" t="s">
        <v>309</v>
      </c>
      <c r="I58" s="501">
        <v>155820.14</v>
      </c>
      <c r="J58" s="499" t="s">
        <v>309</v>
      </c>
      <c r="K58" s="502">
        <v>160211.7</v>
      </c>
      <c r="L58" s="499" t="s">
        <v>309</v>
      </c>
      <c r="M58" s="503">
        <v>30433.14</v>
      </c>
      <c r="N58" s="500" t="s">
        <v>309</v>
      </c>
      <c r="O58" s="499">
        <v>28529.05</v>
      </c>
      <c r="P58" s="500" t="s">
        <v>309</v>
      </c>
      <c r="Q58" s="499">
        <v>21348.36</v>
      </c>
      <c r="R58" s="500" t="s">
        <v>309</v>
      </c>
      <c r="S58" s="499">
        <v>39996.77</v>
      </c>
      <c r="T58" s="499" t="s">
        <v>309</v>
      </c>
      <c r="U58" s="501">
        <v>49874.59</v>
      </c>
      <c r="V58" s="499" t="s">
        <v>309</v>
      </c>
      <c r="W58" s="503">
        <v>1481380.6</v>
      </c>
      <c r="X58" s="500" t="s">
        <v>309</v>
      </c>
      <c r="Y58" s="499">
        <v>1519427.39</v>
      </c>
      <c r="Z58" s="500" t="s">
        <v>309</v>
      </c>
      <c r="AA58" s="499">
        <v>1759842.03</v>
      </c>
      <c r="AB58" s="499" t="s">
        <v>309</v>
      </c>
      <c r="AC58" s="501">
        <v>1933827.56</v>
      </c>
      <c r="AD58" s="499" t="s">
        <v>309</v>
      </c>
      <c r="AE58" s="502">
        <v>2512373.27</v>
      </c>
      <c r="AF58" s="504" t="s">
        <v>309</v>
      </c>
    </row>
    <row r="59" spans="1:32" ht="15">
      <c r="A59" s="482" t="s">
        <v>256</v>
      </c>
      <c r="B59" s="483"/>
      <c r="C59" s="484">
        <v>205336.83</v>
      </c>
      <c r="D59" s="491" t="s">
        <v>309</v>
      </c>
      <c r="E59" s="484">
        <v>191186.97</v>
      </c>
      <c r="F59" s="491" t="s">
        <v>309</v>
      </c>
      <c r="G59" s="484">
        <v>194453.45</v>
      </c>
      <c r="H59" s="484" t="s">
        <v>309</v>
      </c>
      <c r="I59" s="493">
        <v>191612.52</v>
      </c>
      <c r="J59" s="488" t="s">
        <v>309</v>
      </c>
      <c r="K59" s="494">
        <v>201330.93</v>
      </c>
      <c r="L59" s="484" t="s">
        <v>309</v>
      </c>
      <c r="M59" s="495">
        <v>383830.6</v>
      </c>
      <c r="N59" s="491" t="s">
        <v>309</v>
      </c>
      <c r="O59" s="484">
        <v>393522.81</v>
      </c>
      <c r="P59" s="491" t="s">
        <v>309</v>
      </c>
      <c r="Q59" s="484">
        <v>379695.52</v>
      </c>
      <c r="R59" s="491" t="s">
        <v>309</v>
      </c>
      <c r="S59" s="484">
        <v>380276</v>
      </c>
      <c r="T59" s="484" t="s">
        <v>309</v>
      </c>
      <c r="U59" s="493">
        <v>412194.72</v>
      </c>
      <c r="V59" s="484" t="s">
        <v>309</v>
      </c>
      <c r="W59" s="495">
        <v>313201.99</v>
      </c>
      <c r="X59" s="491" t="s">
        <v>309</v>
      </c>
      <c r="Y59" s="484">
        <v>314833.87</v>
      </c>
      <c r="Z59" s="491" t="s">
        <v>309</v>
      </c>
      <c r="AA59" s="484">
        <v>410135.16</v>
      </c>
      <c r="AB59" s="484" t="s">
        <v>309</v>
      </c>
      <c r="AC59" s="493">
        <v>405554.27</v>
      </c>
      <c r="AD59" s="488" t="s">
        <v>309</v>
      </c>
      <c r="AE59" s="494">
        <v>402913.81</v>
      </c>
      <c r="AF59" s="492" t="s">
        <v>309</v>
      </c>
    </row>
    <row r="60" spans="1:32" ht="15">
      <c r="A60" s="482" t="s">
        <v>379</v>
      </c>
      <c r="B60" s="483">
        <v>60</v>
      </c>
      <c r="C60" s="484">
        <v>456963.4</v>
      </c>
      <c r="D60" s="491" t="s">
        <v>309</v>
      </c>
      <c r="E60" s="484">
        <v>440066.05</v>
      </c>
      <c r="F60" s="491" t="s">
        <v>309</v>
      </c>
      <c r="G60" s="484">
        <v>439553.2</v>
      </c>
      <c r="H60" s="484" t="s">
        <v>309</v>
      </c>
      <c r="I60" s="493">
        <v>440791.77</v>
      </c>
      <c r="J60" s="488" t="s">
        <v>309</v>
      </c>
      <c r="K60" s="494">
        <v>450295.25</v>
      </c>
      <c r="L60" s="484" t="s">
        <v>309</v>
      </c>
      <c r="M60" s="495">
        <v>222613</v>
      </c>
      <c r="N60" s="491" t="s">
        <v>309</v>
      </c>
      <c r="O60" s="484">
        <v>198926.85</v>
      </c>
      <c r="P60" s="491" t="s">
        <v>309</v>
      </c>
      <c r="Q60" s="484">
        <v>219784.84</v>
      </c>
      <c r="R60" s="491" t="s">
        <v>309</v>
      </c>
      <c r="S60" s="484">
        <v>200011.85</v>
      </c>
      <c r="T60" s="484" t="s">
        <v>309</v>
      </c>
      <c r="U60" s="493">
        <v>212460</v>
      </c>
      <c r="V60" s="484" t="s">
        <v>309</v>
      </c>
      <c r="W60" s="495">
        <v>1448989</v>
      </c>
      <c r="X60" s="491" t="s">
        <v>309</v>
      </c>
      <c r="Y60" s="484">
        <v>1261747.05</v>
      </c>
      <c r="Z60" s="491" t="s">
        <v>309</v>
      </c>
      <c r="AA60" s="484">
        <v>1229127.19</v>
      </c>
      <c r="AB60" s="484" t="s">
        <v>309</v>
      </c>
      <c r="AC60" s="493">
        <v>1241214.34</v>
      </c>
      <c r="AD60" s="488" t="s">
        <v>309</v>
      </c>
      <c r="AE60" s="494">
        <v>1460549.25</v>
      </c>
      <c r="AF60" s="492" t="s">
        <v>309</v>
      </c>
    </row>
    <row r="61" spans="1:32" ht="16.5" thickBot="1">
      <c r="A61" s="506" t="s">
        <v>335</v>
      </c>
      <c r="B61" s="507">
        <v>61</v>
      </c>
      <c r="C61" s="508">
        <v>662300.23</v>
      </c>
      <c r="D61" s="509" t="s">
        <v>309</v>
      </c>
      <c r="E61" s="508">
        <v>631253.02</v>
      </c>
      <c r="F61" s="509" t="s">
        <v>309</v>
      </c>
      <c r="G61" s="508">
        <v>634006.65</v>
      </c>
      <c r="H61" s="508" t="s">
        <v>309</v>
      </c>
      <c r="I61" s="510">
        <v>632404.29</v>
      </c>
      <c r="J61" s="508" t="s">
        <v>309</v>
      </c>
      <c r="K61" s="511">
        <v>651626.18</v>
      </c>
      <c r="L61" s="508" t="s">
        <v>309</v>
      </c>
      <c r="M61" s="512">
        <v>606443.6</v>
      </c>
      <c r="N61" s="509" t="s">
        <v>309</v>
      </c>
      <c r="O61" s="508">
        <v>592449.66</v>
      </c>
      <c r="P61" s="509" t="s">
        <v>309</v>
      </c>
      <c r="Q61" s="508">
        <v>599480.36</v>
      </c>
      <c r="R61" s="509" t="s">
        <v>309</v>
      </c>
      <c r="S61" s="508">
        <v>580287.86</v>
      </c>
      <c r="T61" s="508" t="s">
        <v>309</v>
      </c>
      <c r="U61" s="510">
        <v>624654.72</v>
      </c>
      <c r="V61" s="508" t="s">
        <v>309</v>
      </c>
      <c r="W61" s="512">
        <v>1762190.99</v>
      </c>
      <c r="X61" s="509" t="s">
        <v>309</v>
      </c>
      <c r="Y61" s="508">
        <v>1576580.92</v>
      </c>
      <c r="Z61" s="509" t="s">
        <v>309</v>
      </c>
      <c r="AA61" s="508">
        <v>1639262.35</v>
      </c>
      <c r="AB61" s="508" t="s">
        <v>309</v>
      </c>
      <c r="AC61" s="510">
        <v>1646768.61</v>
      </c>
      <c r="AD61" s="508" t="s">
        <v>309</v>
      </c>
      <c r="AE61" s="511">
        <v>1863463.05</v>
      </c>
      <c r="AF61" s="513" t="s">
        <v>309</v>
      </c>
    </row>
    <row r="62" ht="13.5" thickTop="1"/>
    <row r="63" ht="13.5" thickBot="1">
      <c r="K63" s="250"/>
    </row>
    <row r="64" spans="1:11" ht="13.5" thickBot="1">
      <c r="A64" s="783" t="s">
        <v>406</v>
      </c>
      <c r="K64" s="250">
        <f>K61+K58+K47</f>
        <v>1278392.11</v>
      </c>
    </row>
    <row r="65" ht="12.75">
      <c r="K65" s="250">
        <f>K61+K45</f>
        <v>947237.24</v>
      </c>
    </row>
    <row r="66" ht="12.75">
      <c r="K66" s="514">
        <f>K65/K64</f>
        <v>0.7409598608990163</v>
      </c>
    </row>
  </sheetData>
  <mergeCells count="1">
    <mergeCell ref="C4:D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Tabelle22">
    <tabColor indexed="21"/>
  </sheetPr>
  <dimension ref="B1:T58"/>
  <sheetViews>
    <sheetView showGridLines="0" zoomScale="75" zoomScaleNormal="75" zoomScaleSheetLayoutView="75" workbookViewId="0" topLeftCell="A1">
      <selection activeCell="C3" sqref="C3:E3"/>
    </sheetView>
  </sheetViews>
  <sheetFormatPr defaultColWidth="9.140625" defaultRowHeight="12.75"/>
  <cols>
    <col min="1" max="1" width="11.421875" style="0" customWidth="1"/>
    <col min="2" max="2" width="4.28125" style="0" customWidth="1"/>
    <col min="3" max="3" width="4.57421875" style="0" customWidth="1"/>
    <col min="4" max="4" width="11.57421875" style="0" bestFit="1" customWidth="1"/>
    <col min="5" max="5" width="22.57421875" style="0" customWidth="1"/>
    <col min="6" max="6" width="25.140625" style="0" customWidth="1"/>
    <col min="7" max="7" width="23.421875" style="0" customWidth="1"/>
    <col min="8" max="8" width="30.421875" style="0" customWidth="1"/>
    <col min="9" max="9" width="18.00390625" style="0" customWidth="1"/>
    <col min="10" max="10" width="16.421875" style="0" customWidth="1"/>
    <col min="11" max="11" width="17.421875" style="0" hidden="1" customWidth="1"/>
    <col min="12" max="12" width="4.8515625" style="0" customWidth="1"/>
    <col min="13" max="13" width="3.57421875" style="0" customWidth="1"/>
    <col min="14" max="16384" width="11.421875" style="0" customWidth="1"/>
  </cols>
  <sheetData>
    <row r="1" s="645" customFormat="1" ht="12.75">
      <c r="C1" s="644"/>
    </row>
    <row r="2" s="645" customFormat="1" ht="13.5" thickBot="1">
      <c r="C2" s="644"/>
    </row>
    <row r="3" spans="3:5" s="645" customFormat="1" ht="34.5" thickBot="1">
      <c r="C3" s="1292" t="s">
        <v>323</v>
      </c>
      <c r="D3" s="1293"/>
      <c r="E3" s="1294"/>
    </row>
    <row r="4" spans="3:12" s="645" customFormat="1" ht="12.75">
      <c r="C4" s="644"/>
      <c r="L4" s="660"/>
    </row>
    <row r="5" s="645" customFormat="1" ht="15.75" thickBot="1">
      <c r="P5" s="1286" t="s">
        <v>388</v>
      </c>
    </row>
    <row r="6" spans="2:18" s="645" customFormat="1" ht="15.75">
      <c r="B6" s="1280"/>
      <c r="F6" s="1280"/>
      <c r="P6" s="655" t="s">
        <v>240</v>
      </c>
      <c r="R6" s="644"/>
    </row>
    <row r="7" spans="2:20" s="645" customFormat="1" ht="15.75">
      <c r="B7" s="1280"/>
      <c r="F7" s="1280"/>
      <c r="G7" s="1246"/>
      <c r="P7" s="656" t="s">
        <v>238</v>
      </c>
      <c r="R7" s="1280" t="str">
        <f>CONCATENATE("'",$C3,"'","
 Sources wood fuel")</f>
        <v>'Europe'
 Sources wood fuel</v>
      </c>
      <c r="S7" s="1280"/>
      <c r="T7" s="1280"/>
    </row>
    <row r="8" spans="2:20" s="645" customFormat="1" ht="15.75">
      <c r="B8" s="1280"/>
      <c r="F8" s="1280"/>
      <c r="P8" s="656" t="s">
        <v>242</v>
      </c>
      <c r="R8" s="1280" t="s">
        <v>73</v>
      </c>
      <c r="S8" s="1280" t="s">
        <v>76</v>
      </c>
      <c r="T8" s="1280" t="s">
        <v>79</v>
      </c>
    </row>
    <row r="9" spans="2:20" s="645" customFormat="1" ht="15.75">
      <c r="B9" s="1280"/>
      <c r="F9" s="1280"/>
      <c r="P9" s="656" t="s">
        <v>122</v>
      </c>
      <c r="R9" s="1285">
        <f ca="1">INDIRECT(CONCATENATE("'",$C3,"'","!AO14"))</f>
        <v>82531388.01885791</v>
      </c>
      <c r="S9" s="1285">
        <f ca="1">INDIRECT(CONCATENATE("'",$C3,"'","!AO15"))</f>
        <v>90581427.06477636</v>
      </c>
      <c r="T9" s="1285">
        <f ca="1">INDIRECT(CONCATENATE("'",$C3,"'","!AO16"))</f>
        <v>11599018.09921236</v>
      </c>
    </row>
    <row r="10" spans="2:20" s="645" customFormat="1" ht="15.75">
      <c r="B10" s="1280"/>
      <c r="F10" s="1280"/>
      <c r="P10" s="656" t="s">
        <v>239</v>
      </c>
      <c r="R10" s="1280" t="str">
        <f>CONCATENATE("'",$C3,"'","
 User wood energy")</f>
        <v>'Europe'
 User wood energy</v>
      </c>
      <c r="S10" s="1280"/>
      <c r="T10" s="1280"/>
    </row>
    <row r="11" spans="2:20" s="645" customFormat="1" ht="15.75">
      <c r="B11" s="1280"/>
      <c r="F11" s="1280"/>
      <c r="P11" s="656" t="s">
        <v>280</v>
      </c>
      <c r="R11" s="1280" t="s">
        <v>389</v>
      </c>
      <c r="S11" s="1280" t="s">
        <v>390</v>
      </c>
      <c r="T11" s="1280" t="s">
        <v>391</v>
      </c>
    </row>
    <row r="12" spans="2:20" s="645" customFormat="1" ht="15.75">
      <c r="B12" s="1280"/>
      <c r="F12" s="1280"/>
      <c r="P12" s="656" t="s">
        <v>284</v>
      </c>
      <c r="R12" s="1285">
        <f ca="1">INDIRECT(CONCATENATE("'",$C3,"'","!AL17"))</f>
        <v>43827948.57709044</v>
      </c>
      <c r="S12" s="1285">
        <f ca="1">INDIRECT(CONCATENATE("'",$C3,"'","!AM17"))</f>
        <v>53271781.37508493</v>
      </c>
      <c r="T12" s="1285">
        <f ca="1">INDIRECT(CONCATENATE("'",$C3,"'","!AN17"))</f>
        <v>87612103.23067126</v>
      </c>
    </row>
    <row r="13" spans="16:20" s="645" customFormat="1" ht="15.75">
      <c r="P13" s="656" t="s">
        <v>127</v>
      </c>
      <c r="R13" s="1280"/>
      <c r="S13" s="1280"/>
      <c r="T13" s="1280"/>
    </row>
    <row r="14" spans="10:16" s="645" customFormat="1" ht="15.75">
      <c r="J14" s="646"/>
      <c r="K14" s="646"/>
      <c r="L14" s="646"/>
      <c r="P14" s="656" t="s">
        <v>281</v>
      </c>
    </row>
    <row r="15" spans="10:16" s="645" customFormat="1" ht="15.75">
      <c r="J15" s="646"/>
      <c r="K15" s="646"/>
      <c r="L15" s="646"/>
      <c r="P15" s="656" t="s">
        <v>1</v>
      </c>
    </row>
    <row r="16" s="645" customFormat="1" ht="15.75">
      <c r="P16" s="656" t="s">
        <v>271</v>
      </c>
    </row>
    <row r="17" s="645" customFormat="1" ht="16.5" thickBot="1">
      <c r="P17" s="657" t="s">
        <v>199</v>
      </c>
    </row>
    <row r="18" s="645" customFormat="1" ht="15.75">
      <c r="P18" s="658" t="s">
        <v>256</v>
      </c>
    </row>
    <row r="19" s="645" customFormat="1" ht="16.5" thickBot="1">
      <c r="P19" s="659" t="s">
        <v>285</v>
      </c>
    </row>
    <row r="20" s="645" customFormat="1" ht="16.5" thickBot="1">
      <c r="P20" s="658" t="s">
        <v>335</v>
      </c>
    </row>
    <row r="21" s="645" customFormat="1" ht="15.75">
      <c r="P21" s="658" t="s">
        <v>323</v>
      </c>
    </row>
    <row r="22" s="645" customFormat="1" ht="15">
      <c r="P22" s="647"/>
    </row>
    <row r="23" s="645" customFormat="1" ht="12.75"/>
    <row r="24" s="645" customFormat="1" ht="12.75"/>
    <row r="25" s="645" customFormat="1" ht="12.75"/>
    <row r="26" s="645" customFormat="1" ht="12.75"/>
    <row r="27" s="561" customFormat="1" ht="12.75"/>
    <row r="29" spans="4:12" ht="61.5" customHeight="1" thickBot="1">
      <c r="D29" s="666" t="str">
        <f>C3</f>
        <v>Europe</v>
      </c>
      <c r="E29" s="1"/>
      <c r="F29" s="1"/>
      <c r="G29" s="1"/>
      <c r="H29" s="1"/>
      <c r="I29" s="1"/>
      <c r="J29" s="1"/>
      <c r="K29" s="1"/>
      <c r="L29" s="1"/>
    </row>
    <row r="30" spans="4:12" s="664" customFormat="1" ht="27" customHeight="1" thickBot="1">
      <c r="D30" s="1306" t="s">
        <v>33</v>
      </c>
      <c r="E30" s="1307"/>
      <c r="F30" s="680">
        <f ca="1">(INDIRECT(CONCATENATE("'",$D29,"'","!AL9")))</f>
        <v>270806359</v>
      </c>
      <c r="G30" s="662"/>
      <c r="H30" s="663"/>
      <c r="I30" s="663"/>
      <c r="J30" s="663"/>
      <c r="K30" s="663"/>
      <c r="L30" s="663"/>
    </row>
    <row r="31" spans="4:12" s="664" customFormat="1" ht="27" customHeight="1" thickBot="1">
      <c r="D31" s="1308" t="s">
        <v>348</v>
      </c>
      <c r="E31" s="1309"/>
      <c r="F31" s="663"/>
      <c r="G31" s="663"/>
      <c r="H31" s="1312"/>
      <c r="I31" s="663"/>
      <c r="J31" s="663"/>
      <c r="K31" s="663"/>
      <c r="L31" s="663"/>
    </row>
    <row r="32" spans="4:12" s="664" customFormat="1" ht="40.5" customHeight="1" thickBot="1">
      <c r="D32" s="1310"/>
      <c r="E32" s="1311"/>
      <c r="F32" s="665">
        <f ca="1">(INDIRECT(CONCATENATE("'",$D$29,"'","!AL11")))</f>
        <v>0.6820808560955788</v>
      </c>
      <c r="G32" s="663"/>
      <c r="H32" s="1312"/>
      <c r="I32" s="663"/>
      <c r="J32" s="663"/>
      <c r="K32" s="663"/>
      <c r="L32" s="663"/>
    </row>
    <row r="33" spans="4:12" ht="13.5" thickBot="1">
      <c r="D33" s="1"/>
      <c r="E33" s="1"/>
      <c r="F33" s="1"/>
      <c r="G33" s="1"/>
      <c r="H33" s="1"/>
      <c r="I33" s="1"/>
      <c r="J33" s="1"/>
      <c r="K33" s="1"/>
      <c r="L33" s="1"/>
    </row>
    <row r="34" spans="4:12" ht="43.5" customHeight="1" thickBot="1" thickTop="1">
      <c r="D34" s="1"/>
      <c r="E34" s="672" t="s">
        <v>537</v>
      </c>
      <c r="F34" s="668" t="s">
        <v>67</v>
      </c>
      <c r="G34" s="668" t="s">
        <v>68</v>
      </c>
      <c r="H34" s="669" t="s">
        <v>69</v>
      </c>
      <c r="I34" s="1049" t="s">
        <v>353</v>
      </c>
      <c r="J34" s="669" t="s">
        <v>70</v>
      </c>
      <c r="K34" s="661"/>
      <c r="L34" s="57"/>
    </row>
    <row r="35" spans="4:12" ht="32.25" customHeight="1" thickTop="1">
      <c r="D35" s="1"/>
      <c r="E35" s="670" t="s">
        <v>73</v>
      </c>
      <c r="F35" s="832">
        <f ca="1">IF((INDIRECT(CONCATENATE("'",$D$29,"'","!AL14")))="n.a.","n.a.",(INDIRECT(CONCATENATE("'",$D$29,"'","!AL14")))/1000)</f>
        <v>5382.525230769068</v>
      </c>
      <c r="G35" s="832">
        <f ca="1">IF((INDIRECT(CONCATENATE("'",$D$29,"'","!AM14")))="n.a.","n.a.",(INDIRECT(CONCATENATE("'",$D$29,"'","!AM14")))/1000)</f>
        <v>1051.9240174175734</v>
      </c>
      <c r="H35" s="833">
        <f ca="1">IF((INDIRECT(CONCATENATE("'",$D$29,"'","!AN14")))="n.a.","n.a.",(INDIRECT(CONCATENATE("'",$D$29,"'","!AN14"))/1000))</f>
        <v>76096.93877067126</v>
      </c>
      <c r="I35" s="836">
        <f>SUM(F35:H35)</f>
        <v>82531.3880188579</v>
      </c>
      <c r="J35" s="839">
        <f>I35/$I$40</f>
        <v>0.4468115907720969</v>
      </c>
      <c r="K35" s="673"/>
      <c r="L35" s="57"/>
    </row>
    <row r="36" spans="4:12" ht="32.25" customHeight="1">
      <c r="D36" s="1"/>
      <c r="E36" s="670" t="s">
        <v>76</v>
      </c>
      <c r="F36" s="832">
        <f ca="1">IF((INDIRECT(CONCATENATE("'",$D$29,"'","!AL15")))="n.a.","n.a.",(INDIRECT(CONCATENATE("'",$D$29,"'","!AL15")))/1000)</f>
        <v>29485.882737154454</v>
      </c>
      <c r="G36" s="832">
        <f ca="1">IF((INDIRECT(CONCATENATE("'",$D$29,"'","!AM15")))="n.a.","n.a.",(INDIRECT(CONCATENATE("'",$D$29,"'","!AM15")))/1000)</f>
        <v>52192.43786762191</v>
      </c>
      <c r="H36" s="833">
        <f ca="1">IF((INDIRECT(CONCATENATE("'",$D$29,"'","!AN15")))="n.a.","n.a.",(INDIRECT(CONCATENATE("'",$D$29,"'","!AN15")))/1000)</f>
        <v>8903.10646</v>
      </c>
      <c r="I36" s="1050">
        <f>SUM(F36:H36)</f>
        <v>90581.42706477636</v>
      </c>
      <c r="J36" s="839">
        <f>I36/$I$40</f>
        <v>0.49039320060837477</v>
      </c>
      <c r="K36" s="673"/>
      <c r="L36" s="57"/>
    </row>
    <row r="37" spans="4:12" ht="32.25" customHeight="1" thickBot="1">
      <c r="D37" s="1"/>
      <c r="E37" s="671" t="s">
        <v>79</v>
      </c>
      <c r="F37" s="1044">
        <f ca="1">IF((INDIRECT(CONCATENATE("'",$D$29,"'","!AL16")))="n.a.","n.a.",(INDIRECT(CONCATENATE("'",$D$29,"'","!AL16")))/1000)</f>
        <v>8959.540609166917</v>
      </c>
      <c r="G37" s="1044">
        <f ca="1">IF((INDIRECT(CONCATENATE("'",$D$29,"'","!AM16")))="n.a.","n.a.",(INDIRECT(CONCATENATE("'",$D$29,"'","!AM16")))/1000)</f>
        <v>27.419490045440774</v>
      </c>
      <c r="H37" s="1048">
        <f ca="1">IF((INDIRECT(CONCATENATE("'",$D$29,"'","!AN16")))="n.a.","n.a.",(INDIRECT(CONCATENATE("'",$D$29,"'","!AN16")))/1000)</f>
        <v>2612.058</v>
      </c>
      <c r="I37" s="837">
        <f>SUM(F37:H37)</f>
        <v>11599.018099212357</v>
      </c>
      <c r="J37" s="840">
        <f>I37/$I$40</f>
        <v>0.06279520861952825</v>
      </c>
      <c r="K37" s="674"/>
      <c r="L37" s="81"/>
    </row>
    <row r="38" spans="4:12" ht="31.5" customHeight="1" thickBot="1" thickTop="1">
      <c r="D38" s="1"/>
      <c r="E38" s="1043" t="s">
        <v>354</v>
      </c>
      <c r="F38" s="1051">
        <f>SUM(F35:F37)</f>
        <v>43827.94857709044</v>
      </c>
      <c r="G38" s="1052">
        <f>SUM(G35:G37)</f>
        <v>53271.781375084924</v>
      </c>
      <c r="H38" s="835">
        <f>SUM(H35:H37)</f>
        <v>87612.10323067126</v>
      </c>
      <c r="I38" s="1281"/>
      <c r="J38" s="1282"/>
      <c r="K38" s="834">
        <f>SUM(F38:H38)</f>
        <v>184711.83318284663</v>
      </c>
      <c r="L38" s="650"/>
    </row>
    <row r="39" spans="4:12" ht="21.75" customHeight="1" thickBot="1" thickTop="1">
      <c r="D39" s="1"/>
      <c r="E39" s="667" t="s">
        <v>70</v>
      </c>
      <c r="F39" s="1045">
        <f>F38/$K$38</f>
        <v>0.23727742734113338</v>
      </c>
      <c r="G39" s="1046">
        <f>G38/$K$38</f>
        <v>0.288404811197727</v>
      </c>
      <c r="H39" s="1047">
        <f>H38/$K$38</f>
        <v>0.4743177614611396</v>
      </c>
      <c r="I39" s="1283"/>
      <c r="J39" s="1284"/>
      <c r="K39" s="675"/>
      <c r="L39" s="648"/>
    </row>
    <row r="40" spans="4:12" ht="27" customHeight="1" thickBot="1" thickTop="1">
      <c r="D40" s="1"/>
      <c r="E40" s="1313"/>
      <c r="F40" s="1313"/>
      <c r="G40" s="1313"/>
      <c r="H40" s="1314"/>
      <c r="I40" s="838">
        <f>SUM(I35:I37)</f>
        <v>184711.83318284663</v>
      </c>
      <c r="J40" s="1266"/>
      <c r="K40" s="1267"/>
      <c r="L40" s="648"/>
    </row>
    <row r="41" spans="4:12" ht="59.25" customHeight="1" thickBot="1" thickTop="1">
      <c r="D41" s="1"/>
      <c r="E41" s="57"/>
      <c r="F41" s="545"/>
      <c r="G41" s="57"/>
      <c r="H41" s="57"/>
      <c r="I41" s="82"/>
      <c r="J41" s="81"/>
      <c r="K41" s="57"/>
      <c r="L41" s="57"/>
    </row>
    <row r="42" spans="4:12" ht="31.5" customHeight="1" thickBot="1">
      <c r="D42" s="1"/>
      <c r="E42" s="661"/>
      <c r="F42" s="661"/>
      <c r="G42" s="661"/>
      <c r="H42" s="681" t="s">
        <v>47</v>
      </c>
      <c r="I42" s="682" t="s">
        <v>70</v>
      </c>
      <c r="J42" s="81"/>
      <c r="K42" s="57"/>
      <c r="L42" s="57"/>
    </row>
    <row r="43" spans="4:12" ht="42.75" customHeight="1">
      <c r="D43" s="1"/>
      <c r="E43" s="1269" t="s">
        <v>419</v>
      </c>
      <c r="F43" s="1265"/>
      <c r="G43" s="1265"/>
      <c r="H43" s="829">
        <f ca="1">(INDIRECT(CONCATENATE("'",$D$29,"'","!AN22")))/1000</f>
        <v>378383.4511846435</v>
      </c>
      <c r="I43" s="843">
        <v>1</v>
      </c>
      <c r="J43" s="81"/>
      <c r="K43" s="57"/>
      <c r="L43" s="57"/>
    </row>
    <row r="44" spans="4:12" ht="31.5" customHeight="1">
      <c r="D44" s="1"/>
      <c r="E44" s="1295" t="s">
        <v>420</v>
      </c>
      <c r="F44" s="1296"/>
      <c r="G44" s="1296"/>
      <c r="H44" s="830">
        <f>K38</f>
        <v>184711.83318284663</v>
      </c>
      <c r="I44" s="841">
        <f>H44/H43</f>
        <v>0.4881604430758019</v>
      </c>
      <c r="J44" s="1"/>
      <c r="K44" s="1"/>
      <c r="L44" s="1"/>
    </row>
    <row r="45" spans="4:12" ht="42.75" customHeight="1">
      <c r="D45" s="1"/>
      <c r="E45" s="1295" t="s">
        <v>538</v>
      </c>
      <c r="F45" s="1296"/>
      <c r="G45" s="1296"/>
      <c r="H45" s="831">
        <f>I35</f>
        <v>82531.3880188579</v>
      </c>
      <c r="I45" s="842">
        <f>I35/H44</f>
        <v>0.4468115907720969</v>
      </c>
      <c r="J45" s="1"/>
      <c r="K45" s="1"/>
      <c r="L45" s="1"/>
    </row>
    <row r="46" spans="4:12" ht="48.75" customHeight="1">
      <c r="D46" s="1"/>
      <c r="E46" s="1295" t="s">
        <v>539</v>
      </c>
      <c r="F46" s="1296"/>
      <c r="G46" s="1296"/>
      <c r="H46" s="831">
        <f ca="1">IF((INDIRECT(CONCATENATE("'",$D$29,"'","!AN25")))="n.a.","n.a.",(INDIRECT(CONCATENATE("'",$D$29,"'","!AN25")))/1000)</f>
        <v>45793.88081516454</v>
      </c>
      <c r="I46" s="842">
        <f>IF(H46="n.a.","n.a.",H46/H44)</f>
        <v>0.24792066661930146</v>
      </c>
      <c r="J46" s="1"/>
      <c r="K46" s="1"/>
      <c r="L46" s="1"/>
    </row>
    <row r="47" spans="4:12" ht="31.5" customHeight="1">
      <c r="D47" s="1"/>
      <c r="E47" s="1295" t="s">
        <v>102</v>
      </c>
      <c r="F47" s="1296"/>
      <c r="G47" s="1296"/>
      <c r="H47" s="828">
        <f>I35/F30*1000</f>
        <v>0.3047616323472593</v>
      </c>
      <c r="I47" s="1508"/>
      <c r="J47" s="1"/>
      <c r="K47" s="1"/>
      <c r="L47" s="1"/>
    </row>
    <row r="48" spans="4:12" ht="31.5" customHeight="1">
      <c r="D48" s="1"/>
      <c r="E48" s="1295" t="s">
        <v>394</v>
      </c>
      <c r="F48" s="1296"/>
      <c r="G48" s="1296"/>
      <c r="H48" s="828">
        <f>((H44/2)*0.3215/1000)</f>
        <v>29.6924271841426</v>
      </c>
      <c r="I48" s="1508"/>
      <c r="J48" s="1"/>
      <c r="K48" s="1"/>
      <c r="L48" s="1"/>
    </row>
    <row r="49" spans="4:12" ht="31.5" customHeight="1">
      <c r="D49" s="1"/>
      <c r="E49" s="1295" t="s">
        <v>393</v>
      </c>
      <c r="F49" s="1296"/>
      <c r="G49" s="1296"/>
      <c r="H49" s="828">
        <f>VLOOKUP(D29,'Overview User'!K4:U22,10,FALSE)</f>
        <v>1180.9199999999998</v>
      </c>
      <c r="I49" s="1508"/>
      <c r="J49" s="1"/>
      <c r="K49" s="1"/>
      <c r="L49" s="1"/>
    </row>
    <row r="50" spans="4:12" ht="31.5" customHeight="1" thickBot="1">
      <c r="D50" s="1"/>
      <c r="E50" s="1315" t="s">
        <v>392</v>
      </c>
      <c r="F50" s="1316"/>
      <c r="G50" s="1316"/>
      <c r="H50" s="1509"/>
      <c r="I50" s="1507">
        <f>H48/H49</f>
        <v>0.025143470501086104</v>
      </c>
      <c r="J50" s="1"/>
      <c r="K50" s="1"/>
      <c r="L50" s="1"/>
    </row>
    <row r="51" spans="4:11" ht="24" customHeight="1">
      <c r="D51" s="1"/>
      <c r="E51" s="676"/>
      <c r="F51" s="677"/>
      <c r="G51" s="678"/>
      <c r="H51" s="679"/>
      <c r="I51" s="663"/>
      <c r="J51" s="1"/>
      <c r="K51" s="1"/>
    </row>
    <row r="52" spans="4:12" ht="15" hidden="1">
      <c r="D52" s="1"/>
      <c r="E52" s="1"/>
      <c r="F52" s="651"/>
      <c r="G52" s="652"/>
      <c r="H52" s="653"/>
      <c r="I52" s="151"/>
      <c r="J52" s="1"/>
      <c r="K52" s="1"/>
      <c r="L52" s="1"/>
    </row>
    <row r="53" spans="4:12" ht="18.75" hidden="1">
      <c r="D53" s="1"/>
      <c r="E53" s="1"/>
      <c r="F53" s="20"/>
      <c r="G53" s="20"/>
      <c r="H53" s="108"/>
      <c r="I53" s="108"/>
      <c r="J53" s="108"/>
      <c r="K53" s="108"/>
      <c r="L53" s="108"/>
    </row>
    <row r="54" spans="4:12" ht="12.75" hidden="1">
      <c r="D54" s="1297">
        <f ca="1">(INDIRECT(CONCATENATE("'",$D$29,"'","!Aj29")))</f>
        <v>0</v>
      </c>
      <c r="E54" s="1298"/>
      <c r="F54" s="1298"/>
      <c r="G54" s="1298"/>
      <c r="H54" s="1298"/>
      <c r="I54" s="1298"/>
      <c r="J54" s="1298"/>
      <c r="K54" s="1299"/>
      <c r="L54" s="649"/>
    </row>
    <row r="55" spans="4:12" ht="12.75" hidden="1">
      <c r="D55" s="1300"/>
      <c r="E55" s="1301"/>
      <c r="F55" s="1301"/>
      <c r="G55" s="1301"/>
      <c r="H55" s="1301"/>
      <c r="I55" s="1301"/>
      <c r="J55" s="1301"/>
      <c r="K55" s="1302"/>
      <c r="L55" s="649"/>
    </row>
    <row r="56" spans="4:12" ht="12.75" hidden="1">
      <c r="D56" s="1300"/>
      <c r="E56" s="1301"/>
      <c r="F56" s="1301"/>
      <c r="G56" s="1301"/>
      <c r="H56" s="1301"/>
      <c r="I56" s="1301"/>
      <c r="J56" s="1301"/>
      <c r="K56" s="1302"/>
      <c r="L56" s="649"/>
    </row>
    <row r="57" spans="4:12" ht="56.25" customHeight="1" hidden="1" thickBot="1">
      <c r="D57" s="1303"/>
      <c r="E57" s="1304"/>
      <c r="F57" s="1304"/>
      <c r="G57" s="1304"/>
      <c r="H57" s="1304"/>
      <c r="I57" s="1304"/>
      <c r="J57" s="1304"/>
      <c r="K57" s="1305"/>
      <c r="L57" s="649"/>
    </row>
    <row r="58" spans="4:12" ht="45.75" customHeight="1" hidden="1">
      <c r="D58" s="1"/>
      <c r="E58" s="1"/>
      <c r="F58" s="1"/>
      <c r="G58" s="1"/>
      <c r="H58" s="1"/>
      <c r="I58" s="1"/>
      <c r="J58" s="1"/>
      <c r="K58" s="1"/>
      <c r="L58" s="1"/>
    </row>
    <row r="85" ht="39" customHeight="1"/>
  </sheetData>
  <sheetProtection/>
  <mergeCells count="16">
    <mergeCell ref="E48:G48"/>
    <mergeCell ref="E44:G44"/>
    <mergeCell ref="E43:G43"/>
    <mergeCell ref="J40:K40"/>
    <mergeCell ref="E45:G45"/>
    <mergeCell ref="E47:G47"/>
    <mergeCell ref="C3:E3"/>
    <mergeCell ref="E49:G49"/>
    <mergeCell ref="D54:K57"/>
    <mergeCell ref="D30:E30"/>
    <mergeCell ref="D31:E32"/>
    <mergeCell ref="H31:H32"/>
    <mergeCell ref="E46:G46"/>
    <mergeCell ref="E40:H40"/>
    <mergeCell ref="E50:G50"/>
    <mergeCell ref="I38:J39"/>
  </mergeCells>
  <dataValidations count="1">
    <dataValidation type="list" allowBlank="1" showInputMessage="1" showErrorMessage="1" sqref="C3 E13">
      <formula1>$P$6:$P$21</formula1>
    </dataValidation>
  </dataValidations>
  <printOptions/>
  <pageMargins left="0.69" right="0" top="0.984251968503937" bottom="0.984251968503937" header="0.5118110236220472" footer="0.5118110236220472"/>
  <pageSetup horizontalDpi="600" verticalDpi="600" orientation="portrait" paperSize="9" scale="50" r:id="rId2"/>
  <drawing r:id="rId1"/>
</worksheet>
</file>

<file path=xl/worksheets/sheet30.xml><?xml version="1.0" encoding="utf-8"?>
<worksheet xmlns="http://schemas.openxmlformats.org/spreadsheetml/2006/main" xmlns:r="http://schemas.openxmlformats.org/officeDocument/2006/relationships">
  <sheetPr codeName="Tabelle3">
    <tabColor indexed="12"/>
  </sheetPr>
  <dimension ref="A1:AF58"/>
  <sheetViews>
    <sheetView workbookViewId="0" topLeftCell="A1">
      <selection activeCell="B6" sqref="B6"/>
    </sheetView>
  </sheetViews>
  <sheetFormatPr defaultColWidth="9.140625" defaultRowHeight="12.75"/>
  <cols>
    <col min="1" max="1" width="26.7109375" style="0" customWidth="1"/>
    <col min="2" max="2" width="1.7109375" style="0" customWidth="1"/>
    <col min="3" max="3" width="10.7109375" style="0" customWidth="1"/>
    <col min="4" max="4" width="2.28125" style="0" customWidth="1"/>
    <col min="5" max="5" width="10.7109375" style="0" customWidth="1"/>
    <col min="6" max="6" width="2.28125" style="0" customWidth="1"/>
    <col min="7" max="7" width="10.7109375" style="0" customWidth="1"/>
    <col min="8" max="8" width="2.28125" style="0" customWidth="1"/>
    <col min="9" max="9" width="10.7109375" style="0" customWidth="1"/>
    <col min="10" max="10" width="2.28125" style="0" customWidth="1"/>
    <col min="11" max="11" width="10.7109375" style="0" customWidth="1"/>
    <col min="12" max="12" width="2.28125" style="0" customWidth="1"/>
    <col min="13" max="13" width="10.7109375" style="0" customWidth="1"/>
    <col min="14" max="14" width="2.28125" style="0" customWidth="1"/>
    <col min="15" max="15" width="10.7109375" style="0" customWidth="1"/>
    <col min="16" max="16" width="2.28125" style="0" customWidth="1"/>
    <col min="17" max="17" width="10.7109375" style="0" customWidth="1"/>
    <col min="18" max="18" width="2.28125" style="0" customWidth="1"/>
    <col min="19" max="19" width="10.7109375" style="0" customWidth="1"/>
    <col min="20" max="20" width="2.28125" style="0" customWidth="1"/>
    <col min="21" max="21" width="10.7109375" style="0" customWidth="1"/>
    <col min="22" max="22" width="2.28125" style="0" customWidth="1"/>
    <col min="23" max="23" width="10.7109375" style="0" customWidth="1"/>
    <col min="24" max="24" width="2.28125" style="0" customWidth="1"/>
    <col min="25" max="25" width="10.7109375" style="0" customWidth="1"/>
    <col min="26" max="26" width="2.28125" style="0" customWidth="1"/>
    <col min="27" max="27" width="10.7109375" style="0" customWidth="1"/>
    <col min="28" max="28" width="2.28125" style="0" customWidth="1"/>
    <col min="29" max="29" width="10.7109375" style="0" customWidth="1"/>
    <col min="30" max="30" width="2.28125" style="0" customWidth="1"/>
    <col min="31" max="31" width="10.7109375" style="0" customWidth="1"/>
    <col min="32" max="32" width="2.28125" style="0" customWidth="1"/>
  </cols>
  <sheetData>
    <row r="1" spans="1:32" ht="18">
      <c r="A1" s="456" t="s">
        <v>302</v>
      </c>
      <c r="B1" s="457"/>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row>
    <row r="2" spans="1:32" ht="18.75" thickBot="1">
      <c r="A2" s="456" t="s">
        <v>303</v>
      </c>
      <c r="B2" s="457"/>
      <c r="C2" s="458"/>
      <c r="D2" s="458"/>
      <c r="E2" s="458"/>
      <c r="F2" s="458"/>
      <c r="G2" s="458"/>
      <c r="H2" s="458"/>
      <c r="I2" s="458"/>
      <c r="J2" s="458"/>
      <c r="K2" s="458"/>
      <c r="L2" s="458"/>
      <c r="M2" s="458"/>
      <c r="N2" s="458"/>
      <c r="O2" s="458"/>
      <c r="P2" s="458"/>
      <c r="Q2" s="458"/>
      <c r="R2" s="458"/>
      <c r="S2" s="458"/>
      <c r="T2" s="458"/>
      <c r="U2" s="458"/>
      <c r="V2" s="458"/>
      <c r="W2" s="458"/>
      <c r="X2" s="458"/>
      <c r="Y2" s="458"/>
      <c r="Z2" s="458"/>
      <c r="AA2" s="458"/>
      <c r="AB2" s="458"/>
      <c r="AC2" s="458"/>
      <c r="AD2" s="458"/>
      <c r="AE2" s="458"/>
      <c r="AF2" s="458"/>
    </row>
    <row r="3" spans="1:32" ht="17.25" thickBot="1" thickTop="1">
      <c r="A3" s="459"/>
      <c r="B3" s="460"/>
      <c r="C3" s="461" t="s">
        <v>304</v>
      </c>
      <c r="D3" s="462"/>
      <c r="E3" s="463"/>
      <c r="F3" s="463"/>
      <c r="G3" s="463"/>
      <c r="H3" s="463"/>
      <c r="I3" s="463"/>
      <c r="J3" s="463"/>
      <c r="K3" s="464"/>
      <c r="L3" s="463"/>
      <c r="M3" s="465" t="s">
        <v>305</v>
      </c>
      <c r="N3" s="463"/>
      <c r="O3" s="463"/>
      <c r="P3" s="463"/>
      <c r="Q3" s="463"/>
      <c r="R3" s="463"/>
      <c r="S3" s="463"/>
      <c r="T3" s="463"/>
      <c r="U3" s="464"/>
      <c r="V3" s="463"/>
      <c r="W3" s="465" t="s">
        <v>306</v>
      </c>
      <c r="X3" s="463"/>
      <c r="Y3" s="463"/>
      <c r="Z3" s="463"/>
      <c r="AA3" s="463"/>
      <c r="AB3" s="463"/>
      <c r="AC3" s="463"/>
      <c r="AD3" s="463"/>
      <c r="AE3" s="464"/>
      <c r="AF3" s="466"/>
    </row>
    <row r="4" spans="1:32" ht="17.25" thickBot="1" thickTop="1">
      <c r="A4" s="467" t="s">
        <v>128</v>
      </c>
      <c r="B4" s="468"/>
      <c r="C4" s="1505">
        <v>2000</v>
      </c>
      <c r="D4" s="1506"/>
      <c r="E4" s="469">
        <v>2001</v>
      </c>
      <c r="F4" s="469"/>
      <c r="G4" s="469">
        <v>2002</v>
      </c>
      <c r="H4" s="470"/>
      <c r="I4" s="471">
        <v>2003</v>
      </c>
      <c r="J4" s="470"/>
      <c r="K4" s="471">
        <v>2004</v>
      </c>
      <c r="L4" s="470"/>
      <c r="M4" s="472">
        <v>2000</v>
      </c>
      <c r="N4" s="469"/>
      <c r="O4" s="469">
        <v>2001</v>
      </c>
      <c r="P4" s="469"/>
      <c r="Q4" s="469">
        <v>2002</v>
      </c>
      <c r="R4" s="470"/>
      <c r="S4" s="473">
        <v>2003</v>
      </c>
      <c r="T4" s="470"/>
      <c r="U4" s="471">
        <v>2004</v>
      </c>
      <c r="V4" s="470"/>
      <c r="W4" s="472">
        <v>2000</v>
      </c>
      <c r="X4" s="469"/>
      <c r="Y4" s="469">
        <v>2001</v>
      </c>
      <c r="Z4" s="469"/>
      <c r="AA4" s="469">
        <v>2002</v>
      </c>
      <c r="AB4" s="470"/>
      <c r="AC4" s="473">
        <v>2003</v>
      </c>
      <c r="AD4" s="470"/>
      <c r="AE4" s="471">
        <v>2004</v>
      </c>
      <c r="AF4" s="474"/>
    </row>
    <row r="5" spans="1:32" ht="17.25" thickBot="1" thickTop="1">
      <c r="A5" s="475"/>
      <c r="B5" s="476"/>
      <c r="C5" s="477" t="s">
        <v>307</v>
      </c>
      <c r="D5" s="477"/>
      <c r="E5" s="477"/>
      <c r="F5" s="477"/>
      <c r="G5" s="477"/>
      <c r="H5" s="477"/>
      <c r="I5" s="477"/>
      <c r="J5" s="477"/>
      <c r="K5" s="478"/>
      <c r="L5" s="466"/>
      <c r="M5" s="479" t="s">
        <v>307</v>
      </c>
      <c r="N5" s="480"/>
      <c r="O5" s="477"/>
      <c r="P5" s="477"/>
      <c r="Q5" s="477"/>
      <c r="R5" s="477"/>
      <c r="S5" s="477"/>
      <c r="T5" s="477"/>
      <c r="U5" s="478"/>
      <c r="V5" s="466"/>
      <c r="W5" s="479" t="s">
        <v>307</v>
      </c>
      <c r="X5" s="480"/>
      <c r="Y5" s="477"/>
      <c r="Z5" s="477"/>
      <c r="AA5" s="477"/>
      <c r="AB5" s="477"/>
      <c r="AC5" s="477"/>
      <c r="AD5" s="477"/>
      <c r="AE5" s="478"/>
      <c r="AF5" s="481"/>
    </row>
    <row r="6" spans="1:32" ht="15.75" thickTop="1">
      <c r="A6" s="482" t="s">
        <v>308</v>
      </c>
      <c r="B6" s="483"/>
      <c r="C6" s="484" t="s">
        <v>279</v>
      </c>
      <c r="D6" s="485" t="s">
        <v>309</v>
      </c>
      <c r="E6" s="484" t="s">
        <v>279</v>
      </c>
      <c r="F6" s="485" t="s">
        <v>309</v>
      </c>
      <c r="G6" s="484" t="s">
        <v>279</v>
      </c>
      <c r="H6" s="486" t="s">
        <v>309</v>
      </c>
      <c r="I6" s="487" t="s">
        <v>279</v>
      </c>
      <c r="J6" s="488" t="s">
        <v>309</v>
      </c>
      <c r="K6" s="489" t="s">
        <v>279</v>
      </c>
      <c r="L6" s="484" t="s">
        <v>309</v>
      </c>
      <c r="M6" s="490">
        <v>4.3</v>
      </c>
      <c r="N6" s="491" t="s">
        <v>309</v>
      </c>
      <c r="O6" s="484">
        <v>4.3</v>
      </c>
      <c r="P6" s="485" t="s">
        <v>309</v>
      </c>
      <c r="Q6" s="484">
        <v>4.3</v>
      </c>
      <c r="R6" s="485" t="s">
        <v>309</v>
      </c>
      <c r="S6" s="486">
        <v>4.3</v>
      </c>
      <c r="T6" s="486" t="s">
        <v>309</v>
      </c>
      <c r="U6" s="487">
        <v>4.3</v>
      </c>
      <c r="V6" s="484" t="s">
        <v>309</v>
      </c>
      <c r="W6" s="490" t="s">
        <v>310</v>
      </c>
      <c r="X6" s="491" t="s">
        <v>106</v>
      </c>
      <c r="Y6" s="484" t="s">
        <v>310</v>
      </c>
      <c r="Z6" s="485" t="s">
        <v>106</v>
      </c>
      <c r="AA6" s="484" t="s">
        <v>310</v>
      </c>
      <c r="AB6" s="486" t="s">
        <v>106</v>
      </c>
      <c r="AC6" s="487" t="s">
        <v>310</v>
      </c>
      <c r="AD6" s="488" t="s">
        <v>106</v>
      </c>
      <c r="AE6" s="489" t="s">
        <v>310</v>
      </c>
      <c r="AF6" s="492" t="s">
        <v>106</v>
      </c>
    </row>
    <row r="7" spans="1:32" ht="15">
      <c r="A7" s="482" t="s">
        <v>240</v>
      </c>
      <c r="B7" s="483"/>
      <c r="C7" s="484">
        <v>1190</v>
      </c>
      <c r="D7" s="491" t="s">
        <v>309</v>
      </c>
      <c r="E7" s="484">
        <v>1160</v>
      </c>
      <c r="F7" s="491" t="s">
        <v>309</v>
      </c>
      <c r="G7" s="484">
        <v>1185</v>
      </c>
      <c r="H7" s="484" t="s">
        <v>309</v>
      </c>
      <c r="I7" s="493">
        <v>1208</v>
      </c>
      <c r="J7" s="488" t="s">
        <v>309</v>
      </c>
      <c r="K7" s="494">
        <v>1273.38</v>
      </c>
      <c r="L7" s="484" t="s">
        <v>309</v>
      </c>
      <c r="M7" s="495">
        <v>572</v>
      </c>
      <c r="N7" s="491" t="s">
        <v>309</v>
      </c>
      <c r="O7" s="484">
        <v>487</v>
      </c>
      <c r="P7" s="491" t="s">
        <v>309</v>
      </c>
      <c r="Q7" s="484">
        <v>548</v>
      </c>
      <c r="R7" s="491" t="s">
        <v>309</v>
      </c>
      <c r="S7" s="484">
        <v>517</v>
      </c>
      <c r="T7" s="484" t="s">
        <v>309</v>
      </c>
      <c r="U7" s="493">
        <v>625</v>
      </c>
      <c r="V7" s="484" t="s">
        <v>309</v>
      </c>
      <c r="W7" s="495">
        <v>320</v>
      </c>
      <c r="X7" s="491" t="s">
        <v>309</v>
      </c>
      <c r="Y7" s="484">
        <v>328</v>
      </c>
      <c r="Z7" s="491" t="s">
        <v>309</v>
      </c>
      <c r="AA7" s="484">
        <v>321</v>
      </c>
      <c r="AB7" s="484" t="s">
        <v>309</v>
      </c>
      <c r="AC7" s="493">
        <v>294</v>
      </c>
      <c r="AD7" s="488" t="s">
        <v>309</v>
      </c>
      <c r="AE7" s="494">
        <v>258</v>
      </c>
      <c r="AF7" s="492" t="s">
        <v>309</v>
      </c>
    </row>
    <row r="8" spans="1:32" ht="15">
      <c r="A8" s="482" t="s">
        <v>311</v>
      </c>
      <c r="B8" s="483"/>
      <c r="C8" s="484">
        <v>235</v>
      </c>
      <c r="D8" s="491" t="s">
        <v>309</v>
      </c>
      <c r="E8" s="484">
        <v>243</v>
      </c>
      <c r="F8" s="491" t="s">
        <v>309</v>
      </c>
      <c r="G8" s="484">
        <v>302</v>
      </c>
      <c r="H8" s="484" t="s">
        <v>309</v>
      </c>
      <c r="I8" s="493">
        <v>333</v>
      </c>
      <c r="J8" s="488" t="s">
        <v>309</v>
      </c>
      <c r="K8" s="494">
        <v>360.13</v>
      </c>
      <c r="L8" s="484" t="s">
        <v>309</v>
      </c>
      <c r="M8" s="495">
        <v>1008</v>
      </c>
      <c r="N8" s="491" t="s">
        <v>309</v>
      </c>
      <c r="O8" s="484">
        <v>1018.06</v>
      </c>
      <c r="P8" s="491" t="s">
        <v>309</v>
      </c>
      <c r="Q8" s="484">
        <v>965.28</v>
      </c>
      <c r="R8" s="491" t="s">
        <v>309</v>
      </c>
      <c r="S8" s="484">
        <v>876.3</v>
      </c>
      <c r="T8" s="484" t="s">
        <v>309</v>
      </c>
      <c r="U8" s="493">
        <v>938.9</v>
      </c>
      <c r="V8" s="484" t="s">
        <v>309</v>
      </c>
      <c r="W8" s="495">
        <v>647</v>
      </c>
      <c r="X8" s="491" t="s">
        <v>309</v>
      </c>
      <c r="Y8" s="484">
        <v>625.18</v>
      </c>
      <c r="Z8" s="491" t="s">
        <v>309</v>
      </c>
      <c r="AA8" s="484">
        <v>618.64</v>
      </c>
      <c r="AB8" s="484" t="s">
        <v>309</v>
      </c>
      <c r="AC8" s="493">
        <v>585.97</v>
      </c>
      <c r="AD8" s="488" t="s">
        <v>309</v>
      </c>
      <c r="AE8" s="494">
        <v>682.49</v>
      </c>
      <c r="AF8" s="492" t="s">
        <v>309</v>
      </c>
    </row>
    <row r="9" spans="1:32" ht="15">
      <c r="A9" s="482" t="s">
        <v>312</v>
      </c>
      <c r="B9" s="483"/>
      <c r="C9" s="484" t="s">
        <v>310</v>
      </c>
      <c r="D9" s="491" t="s">
        <v>106</v>
      </c>
      <c r="E9" s="484" t="s">
        <v>310</v>
      </c>
      <c r="F9" s="491" t="s">
        <v>106</v>
      </c>
      <c r="G9" s="484" t="s">
        <v>310</v>
      </c>
      <c r="H9" s="484" t="s">
        <v>106</v>
      </c>
      <c r="I9" s="493" t="s">
        <v>310</v>
      </c>
      <c r="J9" s="488" t="s">
        <v>106</v>
      </c>
      <c r="K9" s="494" t="s">
        <v>310</v>
      </c>
      <c r="L9" s="484" t="s">
        <v>106</v>
      </c>
      <c r="M9" s="495">
        <v>1.84</v>
      </c>
      <c r="N9" s="491" t="s">
        <v>309</v>
      </c>
      <c r="O9" s="484">
        <v>1.84</v>
      </c>
      <c r="P9" s="491" t="s">
        <v>309</v>
      </c>
      <c r="Q9" s="484">
        <v>1.84</v>
      </c>
      <c r="R9" s="491" t="s">
        <v>309</v>
      </c>
      <c r="S9" s="484">
        <v>1.84</v>
      </c>
      <c r="T9" s="484" t="s">
        <v>309</v>
      </c>
      <c r="U9" s="493">
        <v>1.84</v>
      </c>
      <c r="V9" s="484" t="s">
        <v>309</v>
      </c>
      <c r="W9" s="495">
        <v>0.04</v>
      </c>
      <c r="X9" s="491" t="s">
        <v>309</v>
      </c>
      <c r="Y9" s="484">
        <v>0.04</v>
      </c>
      <c r="Z9" s="491" t="s">
        <v>309</v>
      </c>
      <c r="AA9" s="484">
        <v>0.04</v>
      </c>
      <c r="AB9" s="484" t="s">
        <v>309</v>
      </c>
      <c r="AC9" s="493">
        <v>0.04</v>
      </c>
      <c r="AD9" s="488" t="s">
        <v>309</v>
      </c>
      <c r="AE9" s="494">
        <v>0.04</v>
      </c>
      <c r="AF9" s="492" t="s">
        <v>309</v>
      </c>
    </row>
    <row r="10" spans="1:32" ht="15">
      <c r="A10" s="482" t="s">
        <v>298</v>
      </c>
      <c r="B10" s="483"/>
      <c r="C10" s="484">
        <v>77</v>
      </c>
      <c r="D10" s="491" t="s">
        <v>309</v>
      </c>
      <c r="E10" s="484">
        <v>89</v>
      </c>
      <c r="F10" s="491" t="s">
        <v>309</v>
      </c>
      <c r="G10" s="484">
        <v>89</v>
      </c>
      <c r="H10" s="484" t="s">
        <v>309</v>
      </c>
      <c r="I10" s="493">
        <v>89</v>
      </c>
      <c r="J10" s="488" t="s">
        <v>309</v>
      </c>
      <c r="K10" s="494">
        <v>89</v>
      </c>
      <c r="L10" s="484" t="s">
        <v>309</v>
      </c>
      <c r="M10" s="495">
        <v>14</v>
      </c>
      <c r="N10" s="491" t="s">
        <v>309</v>
      </c>
      <c r="O10" s="484">
        <v>10</v>
      </c>
      <c r="P10" s="491" t="s">
        <v>309</v>
      </c>
      <c r="Q10" s="484">
        <v>12</v>
      </c>
      <c r="R10" s="491" t="s">
        <v>309</v>
      </c>
      <c r="S10" s="484">
        <v>12</v>
      </c>
      <c r="T10" s="484" t="s">
        <v>309</v>
      </c>
      <c r="U10" s="493">
        <v>12</v>
      </c>
      <c r="V10" s="484" t="s">
        <v>309</v>
      </c>
      <c r="W10" s="495">
        <v>59.85</v>
      </c>
      <c r="X10" s="491" t="s">
        <v>309</v>
      </c>
      <c r="Y10" s="484">
        <v>59.85</v>
      </c>
      <c r="Z10" s="491" t="s">
        <v>309</v>
      </c>
      <c r="AA10" s="484">
        <v>59.85</v>
      </c>
      <c r="AB10" s="484" t="s">
        <v>309</v>
      </c>
      <c r="AC10" s="493">
        <v>59.85</v>
      </c>
      <c r="AD10" s="488" t="s">
        <v>309</v>
      </c>
      <c r="AE10" s="494">
        <v>59.85</v>
      </c>
      <c r="AF10" s="492" t="s">
        <v>309</v>
      </c>
    </row>
    <row r="11" spans="1:32" ht="15">
      <c r="A11" s="482" t="s">
        <v>313</v>
      </c>
      <c r="B11" s="483"/>
      <c r="C11" s="484" t="s">
        <v>279</v>
      </c>
      <c r="D11" s="491" t="s">
        <v>309</v>
      </c>
      <c r="E11" s="484" t="s">
        <v>279</v>
      </c>
      <c r="F11" s="491" t="s">
        <v>309</v>
      </c>
      <c r="G11" s="484" t="s">
        <v>279</v>
      </c>
      <c r="H11" s="484" t="s">
        <v>309</v>
      </c>
      <c r="I11" s="493" t="s">
        <v>279</v>
      </c>
      <c r="J11" s="488" t="s">
        <v>309</v>
      </c>
      <c r="K11" s="494" t="s">
        <v>279</v>
      </c>
      <c r="L11" s="484" t="s">
        <v>309</v>
      </c>
      <c r="M11" s="495">
        <v>3.7</v>
      </c>
      <c r="N11" s="491" t="s">
        <v>309</v>
      </c>
      <c r="O11" s="484">
        <v>2</v>
      </c>
      <c r="P11" s="491" t="s">
        <v>309</v>
      </c>
      <c r="Q11" s="484">
        <v>2</v>
      </c>
      <c r="R11" s="491" t="s">
        <v>309</v>
      </c>
      <c r="S11" s="484">
        <v>2</v>
      </c>
      <c r="T11" s="484" t="s">
        <v>309</v>
      </c>
      <c r="U11" s="493">
        <v>1</v>
      </c>
      <c r="V11" s="484" t="s">
        <v>309</v>
      </c>
      <c r="W11" s="495" t="s">
        <v>279</v>
      </c>
      <c r="X11" s="491" t="s">
        <v>309</v>
      </c>
      <c r="Y11" s="484" t="s">
        <v>279</v>
      </c>
      <c r="Z11" s="491" t="s">
        <v>309</v>
      </c>
      <c r="AA11" s="484" t="s">
        <v>279</v>
      </c>
      <c r="AB11" s="484" t="s">
        <v>309</v>
      </c>
      <c r="AC11" s="493" t="s">
        <v>279</v>
      </c>
      <c r="AD11" s="488" t="s">
        <v>309</v>
      </c>
      <c r="AE11" s="493" t="s">
        <v>279</v>
      </c>
      <c r="AF11" s="492" t="s">
        <v>309</v>
      </c>
    </row>
    <row r="12" spans="1:32" ht="15">
      <c r="A12" s="482" t="s">
        <v>283</v>
      </c>
      <c r="B12" s="483"/>
      <c r="C12" s="484" t="s">
        <v>279</v>
      </c>
      <c r="D12" s="491" t="s">
        <v>309</v>
      </c>
      <c r="E12" s="484" t="s">
        <v>279</v>
      </c>
      <c r="F12" s="491" t="s">
        <v>309</v>
      </c>
      <c r="G12" s="484" t="s">
        <v>279</v>
      </c>
      <c r="H12" s="484" t="s">
        <v>309</v>
      </c>
      <c r="I12" s="493" t="s">
        <v>279</v>
      </c>
      <c r="J12" s="488" t="s">
        <v>309</v>
      </c>
      <c r="K12" s="494" t="s">
        <v>279</v>
      </c>
      <c r="L12" s="484" t="s">
        <v>309</v>
      </c>
      <c r="M12" s="495">
        <v>1.98</v>
      </c>
      <c r="N12" s="491" t="s">
        <v>309</v>
      </c>
      <c r="O12" s="484">
        <v>2.55</v>
      </c>
      <c r="P12" s="491" t="s">
        <v>309</v>
      </c>
      <c r="Q12" s="484">
        <v>4.13</v>
      </c>
      <c r="R12" s="491" t="s">
        <v>309</v>
      </c>
      <c r="S12" s="484">
        <v>2.77</v>
      </c>
      <c r="T12" s="484" t="s">
        <v>309</v>
      </c>
      <c r="U12" s="493">
        <v>2.27</v>
      </c>
      <c r="V12" s="484" t="s">
        <v>309</v>
      </c>
      <c r="W12" s="495">
        <v>0.09</v>
      </c>
      <c r="X12" s="491" t="s">
        <v>309</v>
      </c>
      <c r="Y12" s="484" t="s">
        <v>279</v>
      </c>
      <c r="Z12" s="491" t="s">
        <v>309</v>
      </c>
      <c r="AA12" s="484">
        <v>0.01</v>
      </c>
      <c r="AB12" s="484" t="s">
        <v>309</v>
      </c>
      <c r="AC12" s="493">
        <v>0.04</v>
      </c>
      <c r="AD12" s="488" t="s">
        <v>309</v>
      </c>
      <c r="AE12" s="494">
        <v>0.1</v>
      </c>
      <c r="AF12" s="492" t="s">
        <v>309</v>
      </c>
    </row>
    <row r="13" spans="1:32" ht="15">
      <c r="A13" s="482" t="s">
        <v>238</v>
      </c>
      <c r="B13" s="483"/>
      <c r="C13" s="484">
        <v>569</v>
      </c>
      <c r="D13" s="491" t="s">
        <v>309</v>
      </c>
      <c r="E13" s="484">
        <v>596</v>
      </c>
      <c r="F13" s="491" t="s">
        <v>309</v>
      </c>
      <c r="G13" s="484">
        <v>620</v>
      </c>
      <c r="H13" s="484" t="s">
        <v>309</v>
      </c>
      <c r="I13" s="493">
        <v>634</v>
      </c>
      <c r="J13" s="488" t="s">
        <v>309</v>
      </c>
      <c r="K13" s="494">
        <v>650</v>
      </c>
      <c r="L13" s="484" t="s">
        <v>309</v>
      </c>
      <c r="M13" s="495">
        <v>111</v>
      </c>
      <c r="N13" s="491" t="s">
        <v>309</v>
      </c>
      <c r="O13" s="484">
        <v>122</v>
      </c>
      <c r="P13" s="491" t="s">
        <v>309</v>
      </c>
      <c r="Q13" s="484">
        <v>147</v>
      </c>
      <c r="R13" s="491" t="s">
        <v>309</v>
      </c>
      <c r="S13" s="484">
        <v>162</v>
      </c>
      <c r="T13" s="484" t="s">
        <v>309</v>
      </c>
      <c r="U13" s="493">
        <v>151</v>
      </c>
      <c r="V13" s="484" t="s">
        <v>309</v>
      </c>
      <c r="W13" s="495">
        <v>289</v>
      </c>
      <c r="X13" s="491" t="s">
        <v>309</v>
      </c>
      <c r="Y13" s="484">
        <v>317</v>
      </c>
      <c r="Z13" s="491" t="s">
        <v>309</v>
      </c>
      <c r="AA13" s="484">
        <v>330</v>
      </c>
      <c r="AB13" s="484" t="s">
        <v>309</v>
      </c>
      <c r="AC13" s="493">
        <v>335</v>
      </c>
      <c r="AD13" s="488" t="s">
        <v>309</v>
      </c>
      <c r="AE13" s="494">
        <v>340</v>
      </c>
      <c r="AF13" s="492" t="s">
        <v>309</v>
      </c>
    </row>
    <row r="14" spans="1:32" ht="15">
      <c r="A14" s="482" t="s">
        <v>291</v>
      </c>
      <c r="B14" s="483"/>
      <c r="C14" s="484" t="s">
        <v>279</v>
      </c>
      <c r="D14" s="491" t="s">
        <v>309</v>
      </c>
      <c r="E14" s="484" t="s">
        <v>279</v>
      </c>
      <c r="F14" s="491" t="s">
        <v>309</v>
      </c>
      <c r="G14" s="484" t="s">
        <v>279</v>
      </c>
      <c r="H14" s="484" t="s">
        <v>309</v>
      </c>
      <c r="I14" s="493" t="s">
        <v>279</v>
      </c>
      <c r="J14" s="488" t="s">
        <v>309</v>
      </c>
      <c r="K14" s="494" t="s">
        <v>279</v>
      </c>
      <c r="L14" s="484" t="s">
        <v>309</v>
      </c>
      <c r="M14" s="495">
        <v>45</v>
      </c>
      <c r="N14" s="491" t="s">
        <v>309</v>
      </c>
      <c r="O14" s="484">
        <v>44</v>
      </c>
      <c r="P14" s="491" t="s">
        <v>309</v>
      </c>
      <c r="Q14" s="484">
        <v>51.91</v>
      </c>
      <c r="R14" s="491" t="s">
        <v>309</v>
      </c>
      <c r="S14" s="484">
        <v>49.91</v>
      </c>
      <c r="T14" s="484" t="s">
        <v>309</v>
      </c>
      <c r="U14" s="493">
        <v>47.28</v>
      </c>
      <c r="V14" s="484" t="s">
        <v>309</v>
      </c>
      <c r="W14" s="495">
        <v>1.4</v>
      </c>
      <c r="X14" s="491" t="s">
        <v>309</v>
      </c>
      <c r="Y14" s="484">
        <v>3</v>
      </c>
      <c r="Z14" s="491" t="s">
        <v>309</v>
      </c>
      <c r="AA14" s="484">
        <v>1.43</v>
      </c>
      <c r="AB14" s="484" t="s">
        <v>309</v>
      </c>
      <c r="AC14" s="493">
        <v>0.64</v>
      </c>
      <c r="AD14" s="488" t="s">
        <v>309</v>
      </c>
      <c r="AE14" s="494">
        <v>0.68</v>
      </c>
      <c r="AF14" s="492" t="s">
        <v>309</v>
      </c>
    </row>
    <row r="15" spans="1:32" ht="15">
      <c r="A15" s="482" t="s">
        <v>294</v>
      </c>
      <c r="B15" s="483"/>
      <c r="C15" s="484">
        <v>54</v>
      </c>
      <c r="D15" s="491" t="s">
        <v>309</v>
      </c>
      <c r="E15" s="484">
        <v>51.7</v>
      </c>
      <c r="F15" s="491" t="s">
        <v>309</v>
      </c>
      <c r="G15" s="484">
        <v>65.3</v>
      </c>
      <c r="H15" s="484" t="s">
        <v>309</v>
      </c>
      <c r="I15" s="493">
        <v>67.1</v>
      </c>
      <c r="J15" s="488" t="s">
        <v>309</v>
      </c>
      <c r="K15" s="494">
        <v>70</v>
      </c>
      <c r="L15" s="484" t="s">
        <v>309</v>
      </c>
      <c r="M15" s="495">
        <v>0.57</v>
      </c>
      <c r="N15" s="491" t="s">
        <v>309</v>
      </c>
      <c r="O15" s="484">
        <v>4.4</v>
      </c>
      <c r="P15" s="491" t="s">
        <v>309</v>
      </c>
      <c r="Q15" s="484" t="s">
        <v>279</v>
      </c>
      <c r="R15" s="491" t="s">
        <v>309</v>
      </c>
      <c r="S15" s="484">
        <v>0.29</v>
      </c>
      <c r="T15" s="484" t="s">
        <v>309</v>
      </c>
      <c r="U15" s="493" t="s">
        <v>279</v>
      </c>
      <c r="V15" s="484" t="s">
        <v>309</v>
      </c>
      <c r="W15" s="495">
        <v>0.11</v>
      </c>
      <c r="X15" s="491" t="s">
        <v>309</v>
      </c>
      <c r="Y15" s="484" t="s">
        <v>279</v>
      </c>
      <c r="Z15" s="491" t="s">
        <v>309</v>
      </c>
      <c r="AA15" s="484" t="s">
        <v>279</v>
      </c>
      <c r="AB15" s="484" t="s">
        <v>309</v>
      </c>
      <c r="AC15" s="493" t="s">
        <v>279</v>
      </c>
      <c r="AD15" s="488" t="s">
        <v>309</v>
      </c>
      <c r="AE15" s="494" t="s">
        <v>279</v>
      </c>
      <c r="AF15" s="492" t="s">
        <v>309</v>
      </c>
    </row>
    <row r="16" spans="1:32" ht="15">
      <c r="A16" s="482" t="s">
        <v>122</v>
      </c>
      <c r="B16" s="483"/>
      <c r="C16" s="484">
        <v>7100</v>
      </c>
      <c r="D16" s="491" t="s">
        <v>309</v>
      </c>
      <c r="E16" s="484">
        <v>6547</v>
      </c>
      <c r="F16" s="491" t="s">
        <v>309</v>
      </c>
      <c r="G16" s="484">
        <v>7142</v>
      </c>
      <c r="H16" s="484" t="s">
        <v>309</v>
      </c>
      <c r="I16" s="493">
        <v>7350</v>
      </c>
      <c r="J16" s="488" t="s">
        <v>309</v>
      </c>
      <c r="K16" s="494">
        <v>7783</v>
      </c>
      <c r="L16" s="484" t="s">
        <v>309</v>
      </c>
      <c r="M16" s="495">
        <v>77.54</v>
      </c>
      <c r="N16" s="491" t="s">
        <v>309</v>
      </c>
      <c r="O16" s="484">
        <v>95.47</v>
      </c>
      <c r="P16" s="491" t="s">
        <v>309</v>
      </c>
      <c r="Q16" s="484">
        <v>91.93</v>
      </c>
      <c r="R16" s="491" t="s">
        <v>309</v>
      </c>
      <c r="S16" s="484">
        <v>129.63</v>
      </c>
      <c r="T16" s="484" t="s">
        <v>309</v>
      </c>
      <c r="U16" s="493">
        <v>153.47</v>
      </c>
      <c r="V16" s="484" t="s">
        <v>309</v>
      </c>
      <c r="W16" s="495">
        <v>1585.24</v>
      </c>
      <c r="X16" s="491" t="s">
        <v>309</v>
      </c>
      <c r="Y16" s="484">
        <v>1606.31</v>
      </c>
      <c r="Z16" s="491" t="s">
        <v>309</v>
      </c>
      <c r="AA16" s="484">
        <v>1958.18</v>
      </c>
      <c r="AB16" s="484" t="s">
        <v>309</v>
      </c>
      <c r="AC16" s="493">
        <v>2234.96</v>
      </c>
      <c r="AD16" s="488" t="s">
        <v>309</v>
      </c>
      <c r="AE16" s="494">
        <v>2244.83</v>
      </c>
      <c r="AF16" s="492" t="s">
        <v>309</v>
      </c>
    </row>
    <row r="17" spans="1:32" ht="15">
      <c r="A17" s="482" t="s">
        <v>242</v>
      </c>
      <c r="B17" s="483"/>
      <c r="C17" s="484">
        <v>1817</v>
      </c>
      <c r="D17" s="491" t="s">
        <v>309</v>
      </c>
      <c r="E17" s="484">
        <v>1699</v>
      </c>
      <c r="F17" s="491" t="s">
        <v>309</v>
      </c>
      <c r="G17" s="484">
        <v>1678</v>
      </c>
      <c r="H17" s="484" t="s">
        <v>309</v>
      </c>
      <c r="I17" s="493">
        <v>1512</v>
      </c>
      <c r="J17" s="488" t="s">
        <v>309</v>
      </c>
      <c r="K17" s="494">
        <v>1551</v>
      </c>
      <c r="L17" s="484" t="s">
        <v>309</v>
      </c>
      <c r="M17" s="495">
        <v>2222.38</v>
      </c>
      <c r="N17" s="491" t="s">
        <v>309</v>
      </c>
      <c r="O17" s="484">
        <v>2064.97</v>
      </c>
      <c r="P17" s="491" t="s">
        <v>309</v>
      </c>
      <c r="Q17" s="484">
        <v>2073.17</v>
      </c>
      <c r="R17" s="491" t="s">
        <v>309</v>
      </c>
      <c r="S17" s="484">
        <v>2030.51</v>
      </c>
      <c r="T17" s="484" t="s">
        <v>309</v>
      </c>
      <c r="U17" s="493">
        <v>2057.11</v>
      </c>
      <c r="V17" s="484" t="s">
        <v>309</v>
      </c>
      <c r="W17" s="495">
        <v>330.01</v>
      </c>
      <c r="X17" s="491" t="s">
        <v>309</v>
      </c>
      <c r="Y17" s="484">
        <v>392.67</v>
      </c>
      <c r="Z17" s="491" t="s">
        <v>309</v>
      </c>
      <c r="AA17" s="484">
        <v>411.9</v>
      </c>
      <c r="AB17" s="484" t="s">
        <v>309</v>
      </c>
      <c r="AC17" s="493">
        <v>389.11</v>
      </c>
      <c r="AD17" s="488" t="s">
        <v>309</v>
      </c>
      <c r="AE17" s="494">
        <v>441.57</v>
      </c>
      <c r="AF17" s="492" t="s">
        <v>309</v>
      </c>
    </row>
    <row r="18" spans="1:32" ht="15">
      <c r="A18" s="482" t="s">
        <v>239</v>
      </c>
      <c r="B18" s="483"/>
      <c r="C18" s="484">
        <v>873</v>
      </c>
      <c r="D18" s="491" t="s">
        <v>309</v>
      </c>
      <c r="E18" s="484">
        <v>874</v>
      </c>
      <c r="F18" s="491" t="s">
        <v>309</v>
      </c>
      <c r="G18" s="484">
        <v>896</v>
      </c>
      <c r="H18" s="484" t="s">
        <v>309</v>
      </c>
      <c r="I18" s="493">
        <v>1106</v>
      </c>
      <c r="J18" s="488" t="s">
        <v>309</v>
      </c>
      <c r="K18" s="494">
        <v>848</v>
      </c>
      <c r="L18" s="484" t="s">
        <v>309</v>
      </c>
      <c r="M18" s="495">
        <v>3721</v>
      </c>
      <c r="N18" s="491" t="s">
        <v>309</v>
      </c>
      <c r="O18" s="484">
        <v>3697</v>
      </c>
      <c r="P18" s="491" t="s">
        <v>309</v>
      </c>
      <c r="Q18" s="484">
        <v>4042</v>
      </c>
      <c r="R18" s="491" t="s">
        <v>309</v>
      </c>
      <c r="S18" s="484">
        <v>4106</v>
      </c>
      <c r="T18" s="484" t="s">
        <v>309</v>
      </c>
      <c r="U18" s="493">
        <v>4259</v>
      </c>
      <c r="V18" s="484" t="s">
        <v>309</v>
      </c>
      <c r="W18" s="495">
        <v>361</v>
      </c>
      <c r="X18" s="491" t="s">
        <v>309</v>
      </c>
      <c r="Y18" s="484">
        <v>411</v>
      </c>
      <c r="Z18" s="491" t="s">
        <v>309</v>
      </c>
      <c r="AA18" s="484">
        <v>491</v>
      </c>
      <c r="AB18" s="484" t="s">
        <v>309</v>
      </c>
      <c r="AC18" s="493">
        <v>438</v>
      </c>
      <c r="AD18" s="488" t="s">
        <v>309</v>
      </c>
      <c r="AE18" s="494">
        <v>483</v>
      </c>
      <c r="AF18" s="492" t="s">
        <v>309</v>
      </c>
    </row>
    <row r="19" spans="1:32" ht="15">
      <c r="A19" s="482" t="s">
        <v>314</v>
      </c>
      <c r="B19" s="483"/>
      <c r="C19" s="484" t="s">
        <v>279</v>
      </c>
      <c r="D19" s="491" t="s">
        <v>309</v>
      </c>
      <c r="E19" s="484" t="s">
        <v>279</v>
      </c>
      <c r="F19" s="491" t="s">
        <v>309</v>
      </c>
      <c r="G19" s="484" t="s">
        <v>279</v>
      </c>
      <c r="H19" s="484" t="s">
        <v>309</v>
      </c>
      <c r="I19" s="493" t="s">
        <v>279</v>
      </c>
      <c r="J19" s="488" t="s">
        <v>309</v>
      </c>
      <c r="K19" s="494" t="s">
        <v>279</v>
      </c>
      <c r="L19" s="484" t="s">
        <v>309</v>
      </c>
      <c r="M19" s="495">
        <v>107.17</v>
      </c>
      <c r="N19" s="491" t="s">
        <v>309</v>
      </c>
      <c r="O19" s="484">
        <v>100.36</v>
      </c>
      <c r="P19" s="491" t="s">
        <v>309</v>
      </c>
      <c r="Q19" s="484">
        <v>101.49</v>
      </c>
      <c r="R19" s="491" t="s">
        <v>309</v>
      </c>
      <c r="S19" s="484">
        <v>105.56</v>
      </c>
      <c r="T19" s="484" t="s">
        <v>309</v>
      </c>
      <c r="U19" s="493">
        <v>112.47</v>
      </c>
      <c r="V19" s="484" t="s">
        <v>309</v>
      </c>
      <c r="W19" s="495">
        <v>1.02</v>
      </c>
      <c r="X19" s="491" t="s">
        <v>309</v>
      </c>
      <c r="Y19" s="484">
        <v>1.56</v>
      </c>
      <c r="Z19" s="491" t="s">
        <v>309</v>
      </c>
      <c r="AA19" s="484">
        <v>1.41</v>
      </c>
      <c r="AB19" s="484" t="s">
        <v>309</v>
      </c>
      <c r="AC19" s="493">
        <v>4.46</v>
      </c>
      <c r="AD19" s="488" t="s">
        <v>309</v>
      </c>
      <c r="AE19" s="494">
        <v>6.53</v>
      </c>
      <c r="AF19" s="492" t="s">
        <v>309</v>
      </c>
    </row>
    <row r="20" spans="1:32" ht="15">
      <c r="A20" s="482" t="s">
        <v>315</v>
      </c>
      <c r="B20" s="483"/>
      <c r="C20" s="484" t="s">
        <v>279</v>
      </c>
      <c r="D20" s="491" t="s">
        <v>309</v>
      </c>
      <c r="E20" s="484" t="s">
        <v>279</v>
      </c>
      <c r="F20" s="491" t="s">
        <v>309</v>
      </c>
      <c r="G20" s="484" t="s">
        <v>279</v>
      </c>
      <c r="H20" s="484" t="s">
        <v>309</v>
      </c>
      <c r="I20" s="493" t="s">
        <v>279</v>
      </c>
      <c r="J20" s="488" t="s">
        <v>309</v>
      </c>
      <c r="K20" s="494" t="s">
        <v>279</v>
      </c>
      <c r="L20" s="484" t="s">
        <v>309</v>
      </c>
      <c r="M20" s="495">
        <v>167.7</v>
      </c>
      <c r="N20" s="491" t="s">
        <v>309</v>
      </c>
      <c r="O20" s="484">
        <v>168</v>
      </c>
      <c r="P20" s="491" t="s">
        <v>309</v>
      </c>
      <c r="Q20" s="484">
        <v>172</v>
      </c>
      <c r="R20" s="491" t="s">
        <v>309</v>
      </c>
      <c r="S20" s="484">
        <v>205</v>
      </c>
      <c r="T20" s="484" t="s">
        <v>309</v>
      </c>
      <c r="U20" s="493">
        <v>238</v>
      </c>
      <c r="V20" s="484" t="s">
        <v>309</v>
      </c>
      <c r="W20" s="495">
        <v>3.4</v>
      </c>
      <c r="X20" s="491" t="s">
        <v>309</v>
      </c>
      <c r="Y20" s="484" t="s">
        <v>279</v>
      </c>
      <c r="Z20" s="491" t="s">
        <v>309</v>
      </c>
      <c r="AA20" s="484" t="s">
        <v>279</v>
      </c>
      <c r="AB20" s="484" t="s">
        <v>309</v>
      </c>
      <c r="AC20" s="493">
        <v>1</v>
      </c>
      <c r="AD20" s="488" t="s">
        <v>309</v>
      </c>
      <c r="AE20" s="494" t="s">
        <v>279</v>
      </c>
      <c r="AF20" s="492" t="s">
        <v>309</v>
      </c>
    </row>
    <row r="21" spans="1:32" ht="15">
      <c r="A21" s="482" t="s">
        <v>316</v>
      </c>
      <c r="B21" s="483"/>
      <c r="C21" s="484" t="s">
        <v>279</v>
      </c>
      <c r="D21" s="491" t="s">
        <v>21</v>
      </c>
      <c r="E21" s="484" t="s">
        <v>279</v>
      </c>
      <c r="F21" s="491" t="s">
        <v>21</v>
      </c>
      <c r="G21" s="484" t="s">
        <v>279</v>
      </c>
      <c r="H21" s="484" t="s">
        <v>21</v>
      </c>
      <c r="I21" s="493" t="s">
        <v>279</v>
      </c>
      <c r="J21" s="488" t="s">
        <v>21</v>
      </c>
      <c r="K21" s="494" t="s">
        <v>279</v>
      </c>
      <c r="L21" s="484" t="s">
        <v>21</v>
      </c>
      <c r="M21" s="495" t="s">
        <v>279</v>
      </c>
      <c r="N21" s="491" t="s">
        <v>309</v>
      </c>
      <c r="O21" s="484" t="s">
        <v>279</v>
      </c>
      <c r="P21" s="491" t="s">
        <v>309</v>
      </c>
      <c r="Q21" s="484">
        <v>0.01</v>
      </c>
      <c r="R21" s="491" t="s">
        <v>309</v>
      </c>
      <c r="S21" s="484">
        <v>0.01</v>
      </c>
      <c r="T21" s="484" t="s">
        <v>309</v>
      </c>
      <c r="U21" s="493">
        <v>0.02</v>
      </c>
      <c r="V21" s="484" t="s">
        <v>309</v>
      </c>
      <c r="W21" s="495" t="s">
        <v>279</v>
      </c>
      <c r="X21" s="491" t="s">
        <v>309</v>
      </c>
      <c r="Y21" s="484" t="s">
        <v>279</v>
      </c>
      <c r="Z21" s="491" t="s">
        <v>309</v>
      </c>
      <c r="AA21" s="484" t="s">
        <v>279</v>
      </c>
      <c r="AB21" s="484" t="s">
        <v>309</v>
      </c>
      <c r="AC21" s="493" t="s">
        <v>279</v>
      </c>
      <c r="AD21" s="488" t="s">
        <v>309</v>
      </c>
      <c r="AE21" s="494" t="s">
        <v>279</v>
      </c>
      <c r="AF21" s="492" t="s">
        <v>309</v>
      </c>
    </row>
    <row r="22" spans="1:32" ht="15">
      <c r="A22" s="482" t="s">
        <v>290</v>
      </c>
      <c r="B22" s="483"/>
      <c r="C22" s="484" t="s">
        <v>279</v>
      </c>
      <c r="D22" s="491" t="s">
        <v>309</v>
      </c>
      <c r="E22" s="484" t="s">
        <v>279</v>
      </c>
      <c r="F22" s="491" t="s">
        <v>309</v>
      </c>
      <c r="G22" s="484" t="s">
        <v>279</v>
      </c>
      <c r="H22" s="484" t="s">
        <v>309</v>
      </c>
      <c r="I22" s="493" t="s">
        <v>279</v>
      </c>
      <c r="J22" s="488" t="s">
        <v>309</v>
      </c>
      <c r="K22" s="494" t="s">
        <v>279</v>
      </c>
      <c r="L22" s="484" t="s">
        <v>309</v>
      </c>
      <c r="M22" s="495">
        <v>17</v>
      </c>
      <c r="N22" s="491" t="s">
        <v>309</v>
      </c>
      <c r="O22" s="484">
        <v>14.88</v>
      </c>
      <c r="P22" s="491" t="s">
        <v>309</v>
      </c>
      <c r="Q22" s="484">
        <v>10.97</v>
      </c>
      <c r="R22" s="491" t="s">
        <v>309</v>
      </c>
      <c r="S22" s="484">
        <v>12.1</v>
      </c>
      <c r="T22" s="484" t="s">
        <v>309</v>
      </c>
      <c r="U22" s="493">
        <v>8.64</v>
      </c>
      <c r="V22" s="484" t="s">
        <v>309</v>
      </c>
      <c r="W22" s="495" t="s">
        <v>279</v>
      </c>
      <c r="X22" s="491" t="s">
        <v>309</v>
      </c>
      <c r="Y22" s="484" t="s">
        <v>279</v>
      </c>
      <c r="Z22" s="491" t="s">
        <v>309</v>
      </c>
      <c r="AA22" s="484">
        <v>0.01</v>
      </c>
      <c r="AB22" s="484" t="s">
        <v>309</v>
      </c>
      <c r="AC22" s="493" t="s">
        <v>279</v>
      </c>
      <c r="AD22" s="488" t="s">
        <v>309</v>
      </c>
      <c r="AE22" s="494">
        <v>0.42</v>
      </c>
      <c r="AF22" s="492" t="s">
        <v>309</v>
      </c>
    </row>
    <row r="23" spans="1:32" ht="15">
      <c r="A23" s="482" t="s">
        <v>317</v>
      </c>
      <c r="B23" s="483"/>
      <c r="C23" s="484" t="s">
        <v>279</v>
      </c>
      <c r="D23" s="491" t="s">
        <v>21</v>
      </c>
      <c r="E23" s="484" t="s">
        <v>279</v>
      </c>
      <c r="F23" s="491" t="s">
        <v>21</v>
      </c>
      <c r="G23" s="484" t="s">
        <v>279</v>
      </c>
      <c r="H23" s="484" t="s">
        <v>21</v>
      </c>
      <c r="I23" s="493" t="s">
        <v>279</v>
      </c>
      <c r="J23" s="488" t="s">
        <v>21</v>
      </c>
      <c r="K23" s="494" t="s">
        <v>279</v>
      </c>
      <c r="L23" s="484" t="s">
        <v>21</v>
      </c>
      <c r="M23" s="495">
        <v>123.59</v>
      </c>
      <c r="N23" s="491" t="s">
        <v>309</v>
      </c>
      <c r="O23" s="484">
        <v>123.59</v>
      </c>
      <c r="P23" s="491" t="s">
        <v>309</v>
      </c>
      <c r="Q23" s="484">
        <v>123.59</v>
      </c>
      <c r="R23" s="491" t="s">
        <v>309</v>
      </c>
      <c r="S23" s="484">
        <v>123.59</v>
      </c>
      <c r="T23" s="484" t="s">
        <v>309</v>
      </c>
      <c r="U23" s="493">
        <v>123.59</v>
      </c>
      <c r="V23" s="484" t="s">
        <v>309</v>
      </c>
      <c r="W23" s="495" t="s">
        <v>279</v>
      </c>
      <c r="X23" s="491" t="s">
        <v>309</v>
      </c>
      <c r="Y23" s="484" t="s">
        <v>279</v>
      </c>
      <c r="Z23" s="491" t="s">
        <v>309</v>
      </c>
      <c r="AA23" s="484" t="s">
        <v>279</v>
      </c>
      <c r="AB23" s="484" t="s">
        <v>309</v>
      </c>
      <c r="AC23" s="493" t="s">
        <v>279</v>
      </c>
      <c r="AD23" s="488" t="s">
        <v>309</v>
      </c>
      <c r="AE23" s="494" t="s">
        <v>279</v>
      </c>
      <c r="AF23" s="492" t="s">
        <v>309</v>
      </c>
    </row>
    <row r="24" spans="1:32" ht="15">
      <c r="A24" s="482" t="s">
        <v>179</v>
      </c>
      <c r="B24" s="483"/>
      <c r="C24" s="484">
        <v>40</v>
      </c>
      <c r="D24" s="491" t="s">
        <v>309</v>
      </c>
      <c r="E24" s="484">
        <v>40</v>
      </c>
      <c r="F24" s="491" t="s">
        <v>309</v>
      </c>
      <c r="G24" s="484">
        <v>43</v>
      </c>
      <c r="H24" s="484" t="s">
        <v>309</v>
      </c>
      <c r="I24" s="493">
        <v>43</v>
      </c>
      <c r="J24" s="488" t="s">
        <v>309</v>
      </c>
      <c r="K24" s="494">
        <v>38</v>
      </c>
      <c r="L24" s="484" t="s">
        <v>309</v>
      </c>
      <c r="M24" s="495">
        <v>2931</v>
      </c>
      <c r="N24" s="491" t="s">
        <v>309</v>
      </c>
      <c r="O24" s="484">
        <v>3088</v>
      </c>
      <c r="P24" s="491" t="s">
        <v>309</v>
      </c>
      <c r="Q24" s="484">
        <v>3038.83</v>
      </c>
      <c r="R24" s="491" t="s">
        <v>309</v>
      </c>
      <c r="S24" s="484">
        <v>3038.83</v>
      </c>
      <c r="T24" s="484" t="s">
        <v>309</v>
      </c>
      <c r="U24" s="493">
        <v>3171.25</v>
      </c>
      <c r="V24" s="484" t="s">
        <v>309</v>
      </c>
      <c r="W24" s="495">
        <v>13.02</v>
      </c>
      <c r="X24" s="491" t="s">
        <v>309</v>
      </c>
      <c r="Y24" s="484">
        <v>16</v>
      </c>
      <c r="Z24" s="491" t="s">
        <v>309</v>
      </c>
      <c r="AA24" s="484">
        <v>9.84</v>
      </c>
      <c r="AB24" s="484" t="s">
        <v>309</v>
      </c>
      <c r="AC24" s="493">
        <v>9.96</v>
      </c>
      <c r="AD24" s="488" t="s">
        <v>309</v>
      </c>
      <c r="AE24" s="494">
        <v>14.93</v>
      </c>
      <c r="AF24" s="492" t="s">
        <v>309</v>
      </c>
    </row>
    <row r="25" spans="1:32" ht="15">
      <c r="A25" s="482" t="s">
        <v>295</v>
      </c>
      <c r="B25" s="483"/>
      <c r="C25" s="484" t="s">
        <v>279</v>
      </c>
      <c r="D25" s="491" t="s">
        <v>309</v>
      </c>
      <c r="E25" s="484" t="s">
        <v>279</v>
      </c>
      <c r="F25" s="491" t="s">
        <v>309</v>
      </c>
      <c r="G25" s="484" t="s">
        <v>279</v>
      </c>
      <c r="H25" s="484" t="s">
        <v>309</v>
      </c>
      <c r="I25" s="493" t="s">
        <v>279</v>
      </c>
      <c r="J25" s="488" t="s">
        <v>309</v>
      </c>
      <c r="K25" s="494" t="s">
        <v>279</v>
      </c>
      <c r="L25" s="484" t="s">
        <v>309</v>
      </c>
      <c r="M25" s="495">
        <v>0.11</v>
      </c>
      <c r="N25" s="491" t="s">
        <v>309</v>
      </c>
      <c r="O25" s="484">
        <v>0.06</v>
      </c>
      <c r="P25" s="491" t="s">
        <v>309</v>
      </c>
      <c r="Q25" s="484">
        <v>0.04</v>
      </c>
      <c r="R25" s="491" t="s">
        <v>309</v>
      </c>
      <c r="S25" s="484">
        <v>0.04</v>
      </c>
      <c r="T25" s="484" t="s">
        <v>309</v>
      </c>
      <c r="U25" s="493">
        <v>0.03</v>
      </c>
      <c r="V25" s="484" t="s">
        <v>309</v>
      </c>
      <c r="W25" s="495" t="s">
        <v>279</v>
      </c>
      <c r="X25" s="491" t="s">
        <v>309</v>
      </c>
      <c r="Y25" s="484" t="s">
        <v>279</v>
      </c>
      <c r="Z25" s="491" t="s">
        <v>309</v>
      </c>
      <c r="AA25" s="484" t="s">
        <v>279</v>
      </c>
      <c r="AB25" s="484" t="s">
        <v>309</v>
      </c>
      <c r="AC25" s="493" t="s">
        <v>279</v>
      </c>
      <c r="AD25" s="488" t="s">
        <v>309</v>
      </c>
      <c r="AE25" s="494" t="s">
        <v>279</v>
      </c>
      <c r="AF25" s="492" t="s">
        <v>309</v>
      </c>
    </row>
    <row r="26" spans="1:32" ht="15">
      <c r="A26" s="482" t="s">
        <v>280</v>
      </c>
      <c r="B26" s="483"/>
      <c r="C26" s="484" t="s">
        <v>279</v>
      </c>
      <c r="D26" s="491" t="s">
        <v>309</v>
      </c>
      <c r="E26" s="484" t="s">
        <v>279</v>
      </c>
      <c r="F26" s="491" t="s">
        <v>309</v>
      </c>
      <c r="G26" s="484" t="s">
        <v>279</v>
      </c>
      <c r="H26" s="484" t="s">
        <v>309</v>
      </c>
      <c r="I26" s="493" t="s">
        <v>279</v>
      </c>
      <c r="J26" s="488" t="s">
        <v>309</v>
      </c>
      <c r="K26" s="494">
        <v>0</v>
      </c>
      <c r="L26" s="484" t="s">
        <v>309</v>
      </c>
      <c r="M26" s="495">
        <v>7.83</v>
      </c>
      <c r="N26" s="491" t="s">
        <v>309</v>
      </c>
      <c r="O26" s="484">
        <v>8.06</v>
      </c>
      <c r="P26" s="491" t="s">
        <v>309</v>
      </c>
      <c r="Q26" s="484">
        <v>4.36</v>
      </c>
      <c r="R26" s="491" t="s">
        <v>309</v>
      </c>
      <c r="S26" s="484">
        <v>2</v>
      </c>
      <c r="T26" s="484" t="s">
        <v>309</v>
      </c>
      <c r="U26" s="493">
        <v>2.1</v>
      </c>
      <c r="V26" s="484" t="s">
        <v>309</v>
      </c>
      <c r="W26" s="495">
        <v>6.32</v>
      </c>
      <c r="X26" s="491" t="s">
        <v>309</v>
      </c>
      <c r="Y26" s="484">
        <v>4.38</v>
      </c>
      <c r="Z26" s="491" t="s">
        <v>309</v>
      </c>
      <c r="AA26" s="484">
        <v>1.97</v>
      </c>
      <c r="AB26" s="484" t="s">
        <v>309</v>
      </c>
      <c r="AC26" s="493" t="s">
        <v>279</v>
      </c>
      <c r="AD26" s="488" t="s">
        <v>309</v>
      </c>
      <c r="AE26" s="494" t="s">
        <v>279</v>
      </c>
      <c r="AF26" s="492" t="s">
        <v>309</v>
      </c>
    </row>
    <row r="27" spans="1:32" ht="15">
      <c r="A27" s="482" t="s">
        <v>296</v>
      </c>
      <c r="B27" s="483"/>
      <c r="C27" s="484" t="s">
        <v>279</v>
      </c>
      <c r="D27" s="491" t="s">
        <v>309</v>
      </c>
      <c r="E27" s="484" t="s">
        <v>279</v>
      </c>
      <c r="F27" s="491" t="s">
        <v>309</v>
      </c>
      <c r="G27" s="484" t="s">
        <v>279</v>
      </c>
      <c r="H27" s="484" t="s">
        <v>309</v>
      </c>
      <c r="I27" s="493" t="s">
        <v>279</v>
      </c>
      <c r="J27" s="488" t="s">
        <v>309</v>
      </c>
      <c r="K27" s="494" t="s">
        <v>279</v>
      </c>
      <c r="L27" s="484" t="s">
        <v>309</v>
      </c>
      <c r="M27" s="495" t="s">
        <v>279</v>
      </c>
      <c r="N27" s="491" t="s">
        <v>309</v>
      </c>
      <c r="O27" s="484">
        <v>0.04</v>
      </c>
      <c r="P27" s="491" t="s">
        <v>309</v>
      </c>
      <c r="Q27" s="484">
        <v>0.01</v>
      </c>
      <c r="R27" s="491" t="s">
        <v>309</v>
      </c>
      <c r="S27" s="484">
        <v>0.06</v>
      </c>
      <c r="T27" s="484" t="s">
        <v>309</v>
      </c>
      <c r="U27" s="493">
        <v>0.02</v>
      </c>
      <c r="V27" s="484" t="s">
        <v>309</v>
      </c>
      <c r="W27" s="495" t="s">
        <v>279</v>
      </c>
      <c r="X27" s="491" t="s">
        <v>309</v>
      </c>
      <c r="Y27" s="484" t="s">
        <v>279</v>
      </c>
      <c r="Z27" s="491" t="s">
        <v>309</v>
      </c>
      <c r="AA27" s="484" t="s">
        <v>279</v>
      </c>
      <c r="AB27" s="484" t="s">
        <v>309</v>
      </c>
      <c r="AC27" s="493" t="s">
        <v>279</v>
      </c>
      <c r="AD27" s="488" t="s">
        <v>309</v>
      </c>
      <c r="AE27" s="494" t="s">
        <v>279</v>
      </c>
      <c r="AF27" s="492" t="s">
        <v>309</v>
      </c>
    </row>
    <row r="28" spans="1:32" ht="15">
      <c r="A28" s="482" t="s">
        <v>318</v>
      </c>
      <c r="B28" s="483"/>
      <c r="C28" s="484" t="s">
        <v>279</v>
      </c>
      <c r="D28" s="491" t="s">
        <v>21</v>
      </c>
      <c r="E28" s="484" t="s">
        <v>279</v>
      </c>
      <c r="F28" s="491" t="s">
        <v>21</v>
      </c>
      <c r="G28" s="484" t="s">
        <v>279</v>
      </c>
      <c r="H28" s="484" t="s">
        <v>21</v>
      </c>
      <c r="I28" s="493" t="s">
        <v>279</v>
      </c>
      <c r="J28" s="488" t="s">
        <v>309</v>
      </c>
      <c r="K28" s="494" t="s">
        <v>279</v>
      </c>
      <c r="L28" s="484" t="s">
        <v>309</v>
      </c>
      <c r="M28" s="495">
        <v>0.35</v>
      </c>
      <c r="N28" s="491" t="s">
        <v>309</v>
      </c>
      <c r="O28" s="484">
        <v>0.35</v>
      </c>
      <c r="P28" s="491" t="s">
        <v>309</v>
      </c>
      <c r="Q28" s="484">
        <v>0.35</v>
      </c>
      <c r="R28" s="491" t="s">
        <v>309</v>
      </c>
      <c r="S28" s="484">
        <v>0.05</v>
      </c>
      <c r="T28" s="484" t="s">
        <v>309</v>
      </c>
      <c r="U28" s="493" t="s">
        <v>279</v>
      </c>
      <c r="V28" s="484" t="s">
        <v>309</v>
      </c>
      <c r="W28" s="495" t="s">
        <v>279</v>
      </c>
      <c r="X28" s="491" t="s">
        <v>21</v>
      </c>
      <c r="Y28" s="484" t="s">
        <v>279</v>
      </c>
      <c r="Z28" s="491" t="s">
        <v>21</v>
      </c>
      <c r="AA28" s="484" t="s">
        <v>279</v>
      </c>
      <c r="AB28" s="484" t="s">
        <v>21</v>
      </c>
      <c r="AC28" s="493" t="s">
        <v>279</v>
      </c>
      <c r="AD28" s="488" t="s">
        <v>309</v>
      </c>
      <c r="AE28" s="494">
        <v>0.02</v>
      </c>
      <c r="AF28" s="492" t="s">
        <v>309</v>
      </c>
    </row>
    <row r="29" spans="1:32" ht="15">
      <c r="A29" s="482" t="s">
        <v>284</v>
      </c>
      <c r="B29" s="483"/>
      <c r="C29" s="484" t="s">
        <v>279</v>
      </c>
      <c r="D29" s="491" t="s">
        <v>309</v>
      </c>
      <c r="E29" s="484" t="s">
        <v>279</v>
      </c>
      <c r="F29" s="491" t="s">
        <v>309</v>
      </c>
      <c r="G29" s="484" t="s">
        <v>279</v>
      </c>
      <c r="H29" s="484" t="s">
        <v>309</v>
      </c>
      <c r="I29" s="493" t="s">
        <v>279</v>
      </c>
      <c r="J29" s="488" t="s">
        <v>309</v>
      </c>
      <c r="K29" s="494" t="s">
        <v>279</v>
      </c>
      <c r="L29" s="484" t="s">
        <v>309</v>
      </c>
      <c r="M29" s="495">
        <v>737</v>
      </c>
      <c r="N29" s="491" t="s">
        <v>309</v>
      </c>
      <c r="O29" s="484">
        <v>716</v>
      </c>
      <c r="P29" s="491" t="s">
        <v>309</v>
      </c>
      <c r="Q29" s="484">
        <v>826.5</v>
      </c>
      <c r="R29" s="491" t="s">
        <v>309</v>
      </c>
      <c r="S29" s="484">
        <v>885.3</v>
      </c>
      <c r="T29" s="484" t="s">
        <v>309</v>
      </c>
      <c r="U29" s="493">
        <v>1093.1</v>
      </c>
      <c r="V29" s="484" t="s">
        <v>309</v>
      </c>
      <c r="W29" s="495">
        <v>340</v>
      </c>
      <c r="X29" s="491" t="s">
        <v>309</v>
      </c>
      <c r="Y29" s="484">
        <v>255.6</v>
      </c>
      <c r="Z29" s="491" t="s">
        <v>309</v>
      </c>
      <c r="AA29" s="484">
        <v>124.3</v>
      </c>
      <c r="AB29" s="484" t="s">
        <v>309</v>
      </c>
      <c r="AC29" s="493">
        <v>291.2</v>
      </c>
      <c r="AD29" s="488" t="s">
        <v>309</v>
      </c>
      <c r="AE29" s="494">
        <v>310.1</v>
      </c>
      <c r="AF29" s="492" t="s">
        <v>309</v>
      </c>
    </row>
    <row r="30" spans="1:32" ht="15">
      <c r="A30" s="482" t="s">
        <v>127</v>
      </c>
      <c r="B30" s="483"/>
      <c r="C30" s="484">
        <v>582</v>
      </c>
      <c r="D30" s="491" t="s">
        <v>309</v>
      </c>
      <c r="E30" s="484">
        <v>537</v>
      </c>
      <c r="F30" s="491" t="s">
        <v>309</v>
      </c>
      <c r="G30" s="484">
        <v>516</v>
      </c>
      <c r="H30" s="484" t="s">
        <v>309</v>
      </c>
      <c r="I30" s="493">
        <v>548</v>
      </c>
      <c r="J30" s="488" t="s">
        <v>309</v>
      </c>
      <c r="K30" s="494">
        <v>563</v>
      </c>
      <c r="L30" s="484" t="s">
        <v>309</v>
      </c>
      <c r="M30" s="495">
        <v>154</v>
      </c>
      <c r="N30" s="491" t="s">
        <v>309</v>
      </c>
      <c r="O30" s="484">
        <v>99</v>
      </c>
      <c r="P30" s="491" t="s">
        <v>309</v>
      </c>
      <c r="Q30" s="484">
        <v>91</v>
      </c>
      <c r="R30" s="491" t="s">
        <v>309</v>
      </c>
      <c r="S30" s="484">
        <v>95.45</v>
      </c>
      <c r="T30" s="484" t="s">
        <v>309</v>
      </c>
      <c r="U30" s="493">
        <v>91.17</v>
      </c>
      <c r="V30" s="484" t="s">
        <v>309</v>
      </c>
      <c r="W30" s="495">
        <v>252</v>
      </c>
      <c r="X30" s="491" t="s">
        <v>309</v>
      </c>
      <c r="Y30" s="484">
        <v>295</v>
      </c>
      <c r="Z30" s="491" t="s">
        <v>309</v>
      </c>
      <c r="AA30" s="484">
        <v>297</v>
      </c>
      <c r="AB30" s="484" t="s">
        <v>309</v>
      </c>
      <c r="AC30" s="493">
        <v>280.47</v>
      </c>
      <c r="AD30" s="488" t="s">
        <v>309</v>
      </c>
      <c r="AE30" s="494">
        <v>272.48</v>
      </c>
      <c r="AF30" s="492" t="s">
        <v>309</v>
      </c>
    </row>
    <row r="31" spans="1:32" ht="15">
      <c r="A31" s="482" t="s">
        <v>292</v>
      </c>
      <c r="B31" s="483"/>
      <c r="C31" s="484">
        <v>751</v>
      </c>
      <c r="D31" s="491" t="s">
        <v>309</v>
      </c>
      <c r="E31" s="484">
        <v>753</v>
      </c>
      <c r="F31" s="491" t="s">
        <v>309</v>
      </c>
      <c r="G31" s="484">
        <v>784</v>
      </c>
      <c r="H31" s="484" t="s">
        <v>309</v>
      </c>
      <c r="I31" s="493">
        <v>811</v>
      </c>
      <c r="J31" s="488" t="s">
        <v>309</v>
      </c>
      <c r="K31" s="494">
        <v>791</v>
      </c>
      <c r="L31" s="484" t="s">
        <v>309</v>
      </c>
      <c r="M31" s="495">
        <v>240.1</v>
      </c>
      <c r="N31" s="491" t="s">
        <v>309</v>
      </c>
      <c r="O31" s="484">
        <v>277.7</v>
      </c>
      <c r="P31" s="491" t="s">
        <v>309</v>
      </c>
      <c r="Q31" s="484">
        <v>359.4</v>
      </c>
      <c r="R31" s="491" t="s">
        <v>309</v>
      </c>
      <c r="S31" s="484">
        <v>390.4</v>
      </c>
      <c r="T31" s="484" t="s">
        <v>309</v>
      </c>
      <c r="U31" s="493">
        <v>440.8</v>
      </c>
      <c r="V31" s="484" t="s">
        <v>309</v>
      </c>
      <c r="W31" s="495">
        <v>32.6</v>
      </c>
      <c r="X31" s="491" t="s">
        <v>309</v>
      </c>
      <c r="Y31" s="484">
        <v>36.1</v>
      </c>
      <c r="Z31" s="491" t="s">
        <v>309</v>
      </c>
      <c r="AA31" s="484">
        <v>28.5</v>
      </c>
      <c r="AB31" s="484" t="s">
        <v>309</v>
      </c>
      <c r="AC31" s="493">
        <v>34.2</v>
      </c>
      <c r="AD31" s="488" t="s">
        <v>309</v>
      </c>
      <c r="AE31" s="494">
        <v>40.6</v>
      </c>
      <c r="AF31" s="492" t="s">
        <v>309</v>
      </c>
    </row>
    <row r="32" spans="1:32" ht="15">
      <c r="A32" s="482" t="s">
        <v>289</v>
      </c>
      <c r="B32" s="483"/>
      <c r="C32" s="484">
        <v>1774</v>
      </c>
      <c r="D32" s="491" t="s">
        <v>309</v>
      </c>
      <c r="E32" s="484">
        <v>1806</v>
      </c>
      <c r="F32" s="491" t="s">
        <v>309</v>
      </c>
      <c r="G32" s="484">
        <v>1929</v>
      </c>
      <c r="H32" s="484" t="s">
        <v>309</v>
      </c>
      <c r="I32" s="493">
        <v>1935</v>
      </c>
      <c r="J32" s="488" t="s">
        <v>309</v>
      </c>
      <c r="K32" s="494">
        <v>1949</v>
      </c>
      <c r="L32" s="484" t="s">
        <v>309</v>
      </c>
      <c r="M32" s="495">
        <v>89.24</v>
      </c>
      <c r="N32" s="491" t="s">
        <v>309</v>
      </c>
      <c r="O32" s="484">
        <v>156</v>
      </c>
      <c r="P32" s="491" t="s">
        <v>309</v>
      </c>
      <c r="Q32" s="484">
        <v>134</v>
      </c>
      <c r="R32" s="491" t="s">
        <v>309</v>
      </c>
      <c r="S32" s="484">
        <v>124</v>
      </c>
      <c r="T32" s="484" t="s">
        <v>309</v>
      </c>
      <c r="U32" s="493">
        <v>108</v>
      </c>
      <c r="V32" s="484" t="s">
        <v>309</v>
      </c>
      <c r="W32" s="495">
        <v>969.1</v>
      </c>
      <c r="X32" s="491" t="s">
        <v>309</v>
      </c>
      <c r="Y32" s="484">
        <v>980</v>
      </c>
      <c r="Z32" s="491" t="s">
        <v>309</v>
      </c>
      <c r="AA32" s="484">
        <v>962</v>
      </c>
      <c r="AB32" s="484" t="s">
        <v>309</v>
      </c>
      <c r="AC32" s="493">
        <v>961</v>
      </c>
      <c r="AD32" s="488" t="s">
        <v>309</v>
      </c>
      <c r="AE32" s="494">
        <v>933</v>
      </c>
      <c r="AF32" s="492" t="s">
        <v>309</v>
      </c>
    </row>
    <row r="33" spans="1:32" ht="15">
      <c r="A33" s="482" t="s">
        <v>297</v>
      </c>
      <c r="B33" s="483"/>
      <c r="C33" s="484">
        <v>207.4</v>
      </c>
      <c r="D33" s="491" t="s">
        <v>309</v>
      </c>
      <c r="E33" s="484">
        <v>188</v>
      </c>
      <c r="F33" s="491" t="s">
        <v>309</v>
      </c>
      <c r="G33" s="484">
        <v>200</v>
      </c>
      <c r="H33" s="484" t="s">
        <v>309</v>
      </c>
      <c r="I33" s="493">
        <v>212</v>
      </c>
      <c r="J33" s="488" t="s">
        <v>309</v>
      </c>
      <c r="K33" s="494">
        <v>187</v>
      </c>
      <c r="L33" s="484" t="s">
        <v>309</v>
      </c>
      <c r="M33" s="495">
        <v>3.7</v>
      </c>
      <c r="N33" s="491" t="s">
        <v>309</v>
      </c>
      <c r="O33" s="484">
        <v>5.1</v>
      </c>
      <c r="P33" s="491" t="s">
        <v>309</v>
      </c>
      <c r="Q33" s="484">
        <v>12</v>
      </c>
      <c r="R33" s="491" t="s">
        <v>309</v>
      </c>
      <c r="S33" s="484">
        <v>15</v>
      </c>
      <c r="T33" s="484" t="s">
        <v>309</v>
      </c>
      <c r="U33" s="493">
        <v>6</v>
      </c>
      <c r="V33" s="484" t="s">
        <v>309</v>
      </c>
      <c r="W33" s="495">
        <v>31.2</v>
      </c>
      <c r="X33" s="491" t="s">
        <v>309</v>
      </c>
      <c r="Y33" s="484">
        <v>25.4</v>
      </c>
      <c r="Z33" s="491" t="s">
        <v>309</v>
      </c>
      <c r="AA33" s="484">
        <v>30.1</v>
      </c>
      <c r="AB33" s="484" t="s">
        <v>309</v>
      </c>
      <c r="AC33" s="493">
        <v>48.8</v>
      </c>
      <c r="AD33" s="488" t="s">
        <v>309</v>
      </c>
      <c r="AE33" s="494">
        <v>32</v>
      </c>
      <c r="AF33" s="492" t="s">
        <v>309</v>
      </c>
    </row>
    <row r="34" spans="1:32" ht="15">
      <c r="A34" s="482" t="s">
        <v>319</v>
      </c>
      <c r="B34" s="483"/>
      <c r="C34" s="484">
        <v>92</v>
      </c>
      <c r="D34" s="491" t="s">
        <v>309</v>
      </c>
      <c r="E34" s="484">
        <v>115.2</v>
      </c>
      <c r="F34" s="491" t="s">
        <v>309</v>
      </c>
      <c r="G34" s="484">
        <v>125</v>
      </c>
      <c r="H34" s="484" t="s">
        <v>309</v>
      </c>
      <c r="I34" s="493">
        <v>37</v>
      </c>
      <c r="J34" s="488" t="s">
        <v>309</v>
      </c>
      <c r="K34" s="494">
        <v>19</v>
      </c>
      <c r="L34" s="484" t="s">
        <v>309</v>
      </c>
      <c r="M34" s="495">
        <v>47.1</v>
      </c>
      <c r="N34" s="491" t="s">
        <v>309</v>
      </c>
      <c r="O34" s="484">
        <v>15.6</v>
      </c>
      <c r="P34" s="491" t="s">
        <v>309</v>
      </c>
      <c r="Q34" s="484">
        <v>15</v>
      </c>
      <c r="R34" s="491" t="s">
        <v>309</v>
      </c>
      <c r="S34" s="484">
        <v>13</v>
      </c>
      <c r="T34" s="484" t="s">
        <v>309</v>
      </c>
      <c r="U34" s="493">
        <v>8</v>
      </c>
      <c r="V34" s="484" t="s">
        <v>309</v>
      </c>
      <c r="W34" s="495">
        <v>32.4</v>
      </c>
      <c r="X34" s="491" t="s">
        <v>309</v>
      </c>
      <c r="Y34" s="484">
        <v>26.3</v>
      </c>
      <c r="Z34" s="491" t="s">
        <v>309</v>
      </c>
      <c r="AA34" s="484">
        <v>28.2</v>
      </c>
      <c r="AB34" s="484" t="s">
        <v>309</v>
      </c>
      <c r="AC34" s="493">
        <v>2</v>
      </c>
      <c r="AD34" s="488" t="s">
        <v>309</v>
      </c>
      <c r="AE34" s="494">
        <v>8</v>
      </c>
      <c r="AF34" s="492" t="s">
        <v>309</v>
      </c>
    </row>
    <row r="35" spans="1:32" ht="15">
      <c r="A35" s="482" t="s">
        <v>293</v>
      </c>
      <c r="B35" s="483"/>
      <c r="C35" s="484">
        <v>513</v>
      </c>
      <c r="D35" s="491" t="s">
        <v>309</v>
      </c>
      <c r="E35" s="484">
        <v>568</v>
      </c>
      <c r="F35" s="491" t="s">
        <v>309</v>
      </c>
      <c r="G35" s="484">
        <v>356</v>
      </c>
      <c r="H35" s="484" t="s">
        <v>309</v>
      </c>
      <c r="I35" s="493">
        <v>365</v>
      </c>
      <c r="J35" s="488" t="s">
        <v>309</v>
      </c>
      <c r="K35" s="494">
        <v>402</v>
      </c>
      <c r="L35" s="484" t="s">
        <v>309</v>
      </c>
      <c r="M35" s="495">
        <v>70</v>
      </c>
      <c r="N35" s="491" t="s">
        <v>309</v>
      </c>
      <c r="O35" s="484">
        <v>94</v>
      </c>
      <c r="P35" s="491" t="s">
        <v>309</v>
      </c>
      <c r="Q35" s="484">
        <v>79</v>
      </c>
      <c r="R35" s="491" t="s">
        <v>309</v>
      </c>
      <c r="S35" s="484">
        <v>102</v>
      </c>
      <c r="T35" s="484" t="s">
        <v>309</v>
      </c>
      <c r="U35" s="493">
        <v>101</v>
      </c>
      <c r="V35" s="484" t="s">
        <v>309</v>
      </c>
      <c r="W35" s="495">
        <v>75</v>
      </c>
      <c r="X35" s="491" t="s">
        <v>309</v>
      </c>
      <c r="Y35" s="484">
        <v>94</v>
      </c>
      <c r="Z35" s="491" t="s">
        <v>309</v>
      </c>
      <c r="AA35" s="484">
        <v>101</v>
      </c>
      <c r="AB35" s="484" t="s">
        <v>309</v>
      </c>
      <c r="AC35" s="493">
        <v>119</v>
      </c>
      <c r="AD35" s="488" t="s">
        <v>309</v>
      </c>
      <c r="AE35" s="494">
        <v>109</v>
      </c>
      <c r="AF35" s="492" t="s">
        <v>309</v>
      </c>
    </row>
    <row r="36" spans="1:32" ht="15">
      <c r="A36" s="482" t="s">
        <v>281</v>
      </c>
      <c r="B36" s="483"/>
      <c r="C36" s="484">
        <v>121</v>
      </c>
      <c r="D36" s="491" t="s">
        <v>309</v>
      </c>
      <c r="E36" s="484">
        <v>121</v>
      </c>
      <c r="F36" s="491" t="s">
        <v>309</v>
      </c>
      <c r="G36" s="484">
        <v>121</v>
      </c>
      <c r="H36" s="484" t="s">
        <v>309</v>
      </c>
      <c r="I36" s="493">
        <v>121</v>
      </c>
      <c r="J36" s="488" t="s">
        <v>309</v>
      </c>
      <c r="K36" s="494">
        <v>121</v>
      </c>
      <c r="L36" s="484" t="s">
        <v>309</v>
      </c>
      <c r="M36" s="495">
        <v>144.66</v>
      </c>
      <c r="N36" s="491" t="s">
        <v>309</v>
      </c>
      <c r="O36" s="484">
        <v>142.64</v>
      </c>
      <c r="P36" s="491" t="s">
        <v>309</v>
      </c>
      <c r="Q36" s="484">
        <v>150.41</v>
      </c>
      <c r="R36" s="491" t="s">
        <v>309</v>
      </c>
      <c r="S36" s="484">
        <v>167.91</v>
      </c>
      <c r="T36" s="484" t="s">
        <v>309</v>
      </c>
      <c r="U36" s="493">
        <v>193.13</v>
      </c>
      <c r="V36" s="484" t="s">
        <v>309</v>
      </c>
      <c r="W36" s="495">
        <v>35.38</v>
      </c>
      <c r="X36" s="491" t="s">
        <v>309</v>
      </c>
      <c r="Y36" s="484">
        <v>39.2</v>
      </c>
      <c r="Z36" s="491" t="s">
        <v>309</v>
      </c>
      <c r="AA36" s="484">
        <v>26.57</v>
      </c>
      <c r="AB36" s="484" t="s">
        <v>309</v>
      </c>
      <c r="AC36" s="493">
        <v>37.93</v>
      </c>
      <c r="AD36" s="488" t="s">
        <v>309</v>
      </c>
      <c r="AE36" s="494">
        <v>31.01</v>
      </c>
      <c r="AF36" s="492" t="s">
        <v>309</v>
      </c>
    </row>
    <row r="37" spans="1:32" ht="15">
      <c r="A37" s="482" t="s">
        <v>288</v>
      </c>
      <c r="B37" s="483"/>
      <c r="C37" s="484">
        <v>1575</v>
      </c>
      <c r="D37" s="491" t="s">
        <v>309</v>
      </c>
      <c r="E37" s="484">
        <v>1571</v>
      </c>
      <c r="F37" s="491" t="s">
        <v>309</v>
      </c>
      <c r="G37" s="484">
        <v>1575</v>
      </c>
      <c r="H37" s="484" t="s">
        <v>309</v>
      </c>
      <c r="I37" s="493">
        <v>1776</v>
      </c>
      <c r="J37" s="488" t="s">
        <v>309</v>
      </c>
      <c r="K37" s="494">
        <v>1780</v>
      </c>
      <c r="L37" s="484" t="s">
        <v>309</v>
      </c>
      <c r="M37" s="495">
        <v>625.43</v>
      </c>
      <c r="N37" s="491" t="s">
        <v>309</v>
      </c>
      <c r="O37" s="484">
        <v>686</v>
      </c>
      <c r="P37" s="491" t="s">
        <v>309</v>
      </c>
      <c r="Q37" s="484">
        <v>749</v>
      </c>
      <c r="R37" s="491" t="s">
        <v>309</v>
      </c>
      <c r="S37" s="484">
        <v>718</v>
      </c>
      <c r="T37" s="484" t="s">
        <v>309</v>
      </c>
      <c r="U37" s="493">
        <v>779</v>
      </c>
      <c r="V37" s="484" t="s">
        <v>309</v>
      </c>
      <c r="W37" s="495">
        <v>738.9</v>
      </c>
      <c r="X37" s="491" t="s">
        <v>309</v>
      </c>
      <c r="Y37" s="484">
        <v>734</v>
      </c>
      <c r="Z37" s="491" t="s">
        <v>309</v>
      </c>
      <c r="AA37" s="484">
        <v>664</v>
      </c>
      <c r="AB37" s="484" t="s">
        <v>309</v>
      </c>
      <c r="AC37" s="493">
        <v>783</v>
      </c>
      <c r="AD37" s="488" t="s">
        <v>309</v>
      </c>
      <c r="AE37" s="494">
        <v>909</v>
      </c>
      <c r="AF37" s="492" t="s">
        <v>309</v>
      </c>
    </row>
    <row r="38" spans="1:32" ht="15">
      <c r="A38" s="482" t="s">
        <v>1</v>
      </c>
      <c r="B38" s="483"/>
      <c r="C38" s="496">
        <v>7979</v>
      </c>
      <c r="D38" s="491" t="s">
        <v>309</v>
      </c>
      <c r="E38" s="484">
        <v>7682</v>
      </c>
      <c r="F38" s="484" t="s">
        <v>309</v>
      </c>
      <c r="G38" s="493">
        <v>8052</v>
      </c>
      <c r="H38" s="484" t="s">
        <v>309</v>
      </c>
      <c r="I38" s="493">
        <v>8236</v>
      </c>
      <c r="J38" s="484" t="s">
        <v>309</v>
      </c>
      <c r="K38" s="493">
        <v>8417</v>
      </c>
      <c r="L38" s="484" t="s">
        <v>309</v>
      </c>
      <c r="M38" s="495">
        <v>267.06</v>
      </c>
      <c r="N38" s="491" t="s">
        <v>309</v>
      </c>
      <c r="O38" s="484">
        <v>238.96</v>
      </c>
      <c r="P38" s="484" t="s">
        <v>309</v>
      </c>
      <c r="Q38" s="493">
        <v>272.38</v>
      </c>
      <c r="R38" s="484" t="s">
        <v>309</v>
      </c>
      <c r="S38" s="494">
        <v>275.52</v>
      </c>
      <c r="T38" s="484" t="s">
        <v>309</v>
      </c>
      <c r="U38" s="493">
        <v>292.27</v>
      </c>
      <c r="V38" s="484" t="s">
        <v>309</v>
      </c>
      <c r="W38" s="495">
        <v>2698.47</v>
      </c>
      <c r="X38" s="491" t="s">
        <v>309</v>
      </c>
      <c r="Y38" s="484">
        <v>2685.81</v>
      </c>
      <c r="Z38" s="484" t="s">
        <v>309</v>
      </c>
      <c r="AA38" s="493">
        <v>3023.9</v>
      </c>
      <c r="AB38" s="484" t="s">
        <v>309</v>
      </c>
      <c r="AC38" s="493">
        <v>3020.2</v>
      </c>
      <c r="AD38" s="484" t="s">
        <v>309</v>
      </c>
      <c r="AE38" s="494">
        <v>3115.67</v>
      </c>
      <c r="AF38" s="492" t="s">
        <v>309</v>
      </c>
    </row>
    <row r="39" spans="1:32" ht="15">
      <c r="A39" s="482" t="s">
        <v>271</v>
      </c>
      <c r="B39" s="483"/>
      <c r="C39" s="484">
        <v>126</v>
      </c>
      <c r="D39" s="491" t="s">
        <v>309</v>
      </c>
      <c r="E39" s="484">
        <v>130.7</v>
      </c>
      <c r="F39" s="491" t="s">
        <v>309</v>
      </c>
      <c r="G39" s="484">
        <v>122.65</v>
      </c>
      <c r="H39" s="484" t="s">
        <v>309</v>
      </c>
      <c r="I39" s="493">
        <v>124</v>
      </c>
      <c r="J39" s="488" t="s">
        <v>309</v>
      </c>
      <c r="K39" s="494">
        <v>112</v>
      </c>
      <c r="L39" s="484" t="s">
        <v>309</v>
      </c>
      <c r="M39" s="495">
        <v>426.4</v>
      </c>
      <c r="N39" s="491" t="s">
        <v>309</v>
      </c>
      <c r="O39" s="484">
        <v>401.9</v>
      </c>
      <c r="P39" s="484" t="s">
        <v>309</v>
      </c>
      <c r="Q39" s="493">
        <v>417.76</v>
      </c>
      <c r="R39" s="484" t="s">
        <v>309</v>
      </c>
      <c r="S39" s="494">
        <v>413</v>
      </c>
      <c r="T39" s="484" t="s">
        <v>309</v>
      </c>
      <c r="U39" s="493">
        <v>453.72</v>
      </c>
      <c r="V39" s="484" t="s">
        <v>309</v>
      </c>
      <c r="W39" s="495">
        <v>104.51</v>
      </c>
      <c r="X39" s="491" t="s">
        <v>309</v>
      </c>
      <c r="Y39" s="484">
        <v>104.94</v>
      </c>
      <c r="Z39" s="491" t="s">
        <v>309</v>
      </c>
      <c r="AA39" s="484">
        <v>97.58</v>
      </c>
      <c r="AB39" s="484" t="s">
        <v>309</v>
      </c>
      <c r="AC39" s="493">
        <v>92.51</v>
      </c>
      <c r="AD39" s="488" t="s">
        <v>309</v>
      </c>
      <c r="AE39" s="494">
        <v>77</v>
      </c>
      <c r="AF39" s="492" t="s">
        <v>309</v>
      </c>
    </row>
    <row r="40" spans="1:32" ht="15">
      <c r="A40" s="482" t="s">
        <v>320</v>
      </c>
      <c r="B40" s="483"/>
      <c r="C40" s="484" t="s">
        <v>279</v>
      </c>
      <c r="D40" s="491" t="s">
        <v>309</v>
      </c>
      <c r="E40" s="484" t="s">
        <v>279</v>
      </c>
      <c r="F40" s="491" t="s">
        <v>309</v>
      </c>
      <c r="G40" s="484" t="s">
        <v>279</v>
      </c>
      <c r="H40" s="484" t="s">
        <v>309</v>
      </c>
      <c r="I40" s="493" t="s">
        <v>279</v>
      </c>
      <c r="J40" s="488" t="s">
        <v>309</v>
      </c>
      <c r="K40" s="494" t="s">
        <v>279</v>
      </c>
      <c r="L40" s="484" t="s">
        <v>309</v>
      </c>
      <c r="M40" s="495">
        <v>2.92</v>
      </c>
      <c r="N40" s="491" t="s">
        <v>309</v>
      </c>
      <c r="O40" s="484">
        <v>2.47</v>
      </c>
      <c r="P40" s="491" t="s">
        <v>309</v>
      </c>
      <c r="Q40" s="484">
        <v>0.78</v>
      </c>
      <c r="R40" s="491" t="s">
        <v>309</v>
      </c>
      <c r="S40" s="484">
        <v>0.52</v>
      </c>
      <c r="T40" s="484" t="s">
        <v>309</v>
      </c>
      <c r="U40" s="493">
        <v>0.2</v>
      </c>
      <c r="V40" s="484" t="s">
        <v>309</v>
      </c>
      <c r="W40" s="495" t="s">
        <v>279</v>
      </c>
      <c r="X40" s="491" t="s">
        <v>309</v>
      </c>
      <c r="Y40" s="484" t="s">
        <v>279</v>
      </c>
      <c r="Z40" s="491" t="s">
        <v>309</v>
      </c>
      <c r="AA40" s="484" t="s">
        <v>279</v>
      </c>
      <c r="AB40" s="484" t="s">
        <v>309</v>
      </c>
      <c r="AC40" s="493" t="s">
        <v>279</v>
      </c>
      <c r="AD40" s="488" t="s">
        <v>309</v>
      </c>
      <c r="AE40" s="494" t="s">
        <v>279</v>
      </c>
      <c r="AF40" s="492" t="s">
        <v>309</v>
      </c>
    </row>
    <row r="41" spans="1:32" ht="15">
      <c r="A41" s="482" t="s">
        <v>321</v>
      </c>
      <c r="B41" s="483"/>
      <c r="C41" s="484">
        <v>210</v>
      </c>
      <c r="D41" s="491" t="s">
        <v>309</v>
      </c>
      <c r="E41" s="484">
        <v>166</v>
      </c>
      <c r="F41" s="491" t="s">
        <v>309</v>
      </c>
      <c r="G41" s="484">
        <v>183</v>
      </c>
      <c r="H41" s="484" t="s">
        <v>309</v>
      </c>
      <c r="I41" s="493">
        <v>183</v>
      </c>
      <c r="J41" s="488" t="s">
        <v>309</v>
      </c>
      <c r="K41" s="494">
        <v>183</v>
      </c>
      <c r="L41" s="484" t="s">
        <v>309</v>
      </c>
      <c r="M41" s="495">
        <v>319</v>
      </c>
      <c r="N41" s="491" t="s">
        <v>309</v>
      </c>
      <c r="O41" s="484">
        <v>289</v>
      </c>
      <c r="P41" s="491" t="s">
        <v>309</v>
      </c>
      <c r="Q41" s="484">
        <v>359</v>
      </c>
      <c r="R41" s="491" t="s">
        <v>309</v>
      </c>
      <c r="S41" s="484">
        <v>359</v>
      </c>
      <c r="T41" s="484" t="s">
        <v>309</v>
      </c>
      <c r="U41" s="493">
        <v>359</v>
      </c>
      <c r="V41" s="484" t="s">
        <v>309</v>
      </c>
      <c r="W41" s="495" t="s">
        <v>279</v>
      </c>
      <c r="X41" s="491" t="s">
        <v>309</v>
      </c>
      <c r="Y41" s="484" t="s">
        <v>279</v>
      </c>
      <c r="Z41" s="491" t="s">
        <v>309</v>
      </c>
      <c r="AA41" s="484">
        <v>1.1</v>
      </c>
      <c r="AB41" s="484" t="s">
        <v>309</v>
      </c>
      <c r="AC41" s="493">
        <v>1.1</v>
      </c>
      <c r="AD41" s="488" t="s">
        <v>309</v>
      </c>
      <c r="AE41" s="494">
        <v>1.1</v>
      </c>
      <c r="AF41" s="492" t="s">
        <v>309</v>
      </c>
    </row>
    <row r="42" spans="1:32" ht="15">
      <c r="A42" s="482" t="s">
        <v>199</v>
      </c>
      <c r="B42" s="483"/>
      <c r="C42" s="484" t="s">
        <v>279</v>
      </c>
      <c r="D42" s="491" t="s">
        <v>309</v>
      </c>
      <c r="E42" s="484" t="s">
        <v>279</v>
      </c>
      <c r="F42" s="491" t="s">
        <v>309</v>
      </c>
      <c r="G42" s="484" t="s">
        <v>279</v>
      </c>
      <c r="H42" s="484" t="s">
        <v>309</v>
      </c>
      <c r="I42" s="493" t="s">
        <v>279</v>
      </c>
      <c r="J42" s="488" t="s">
        <v>309</v>
      </c>
      <c r="K42" s="494" t="s">
        <v>279</v>
      </c>
      <c r="L42" s="484" t="s">
        <v>309</v>
      </c>
      <c r="M42" s="495">
        <v>1694</v>
      </c>
      <c r="N42" s="491" t="s">
        <v>309</v>
      </c>
      <c r="O42" s="484">
        <v>1473.61</v>
      </c>
      <c r="P42" s="491" t="s">
        <v>309</v>
      </c>
      <c r="Q42" s="484">
        <v>1473.3</v>
      </c>
      <c r="R42" s="491" t="s">
        <v>309</v>
      </c>
      <c r="S42" s="484">
        <v>1378.99</v>
      </c>
      <c r="T42" s="484" t="s">
        <v>309</v>
      </c>
      <c r="U42" s="493">
        <v>1466.1</v>
      </c>
      <c r="V42" s="484" t="s">
        <v>309</v>
      </c>
      <c r="W42" s="495">
        <v>5</v>
      </c>
      <c r="X42" s="491" t="s">
        <v>309</v>
      </c>
      <c r="Y42" s="484">
        <v>2.51</v>
      </c>
      <c r="Z42" s="491" t="s">
        <v>309</v>
      </c>
      <c r="AA42" s="484">
        <v>0.64</v>
      </c>
      <c r="AB42" s="484" t="s">
        <v>309</v>
      </c>
      <c r="AC42" s="493">
        <v>0.45</v>
      </c>
      <c r="AD42" s="488" t="s">
        <v>309</v>
      </c>
      <c r="AE42" s="494">
        <v>0.95</v>
      </c>
      <c r="AF42" s="492" t="s">
        <v>309</v>
      </c>
    </row>
    <row r="43" spans="1:32" ht="15.75">
      <c r="A43" s="497" t="s">
        <v>322</v>
      </c>
      <c r="B43" s="498"/>
      <c r="C43" s="499">
        <v>24591</v>
      </c>
      <c r="D43" s="500" t="s">
        <v>309</v>
      </c>
      <c r="E43" s="499">
        <v>23711.7</v>
      </c>
      <c r="F43" s="500" t="s">
        <v>309</v>
      </c>
      <c r="G43" s="499">
        <v>24748.3</v>
      </c>
      <c r="H43" s="499" t="s">
        <v>309</v>
      </c>
      <c r="I43" s="501">
        <v>25497.1</v>
      </c>
      <c r="J43" s="499" t="s">
        <v>309</v>
      </c>
      <c r="K43" s="502">
        <v>26033.51</v>
      </c>
      <c r="L43" s="499" t="s">
        <v>309</v>
      </c>
      <c r="M43" s="503">
        <v>14858.13</v>
      </c>
      <c r="N43" s="500" t="s">
        <v>309</v>
      </c>
      <c r="O43" s="499">
        <v>14700.12</v>
      </c>
      <c r="P43" s="500" t="s">
        <v>309</v>
      </c>
      <c r="Q43" s="499">
        <v>15295.45</v>
      </c>
      <c r="R43" s="500" t="s">
        <v>309</v>
      </c>
      <c r="S43" s="499">
        <v>15280.16</v>
      </c>
      <c r="T43" s="499" t="s">
        <v>309</v>
      </c>
      <c r="U43" s="501">
        <v>16239.94</v>
      </c>
      <c r="V43" s="499" t="s">
        <v>309</v>
      </c>
      <c r="W43" s="503">
        <v>8452.06</v>
      </c>
      <c r="X43" s="500" t="s">
        <v>309</v>
      </c>
      <c r="Y43" s="499">
        <v>8532.32</v>
      </c>
      <c r="Z43" s="500" t="s">
        <v>309</v>
      </c>
      <c r="AA43" s="499">
        <v>9076.3</v>
      </c>
      <c r="AB43" s="499" t="s">
        <v>309</v>
      </c>
      <c r="AC43" s="501">
        <v>9540.12</v>
      </c>
      <c r="AD43" s="499" t="s">
        <v>309</v>
      </c>
      <c r="AE43" s="502">
        <v>9921.92</v>
      </c>
      <c r="AF43" s="504" t="s">
        <v>309</v>
      </c>
    </row>
    <row r="44" spans="1:32" ht="15.75">
      <c r="A44" s="505" t="s">
        <v>323</v>
      </c>
      <c r="B44" s="498"/>
      <c r="C44" s="499">
        <v>25885.4</v>
      </c>
      <c r="D44" s="500" t="s">
        <v>309</v>
      </c>
      <c r="E44" s="499">
        <v>24937.6</v>
      </c>
      <c r="F44" s="500" t="s">
        <v>309</v>
      </c>
      <c r="G44" s="499">
        <v>25983.95</v>
      </c>
      <c r="H44" s="499" t="s">
        <v>309</v>
      </c>
      <c r="I44" s="501">
        <v>26690.1</v>
      </c>
      <c r="J44" s="499" t="s">
        <v>309</v>
      </c>
      <c r="K44" s="502">
        <v>27186.51</v>
      </c>
      <c r="L44" s="499" t="s">
        <v>309</v>
      </c>
      <c r="M44" s="503">
        <v>15958.67</v>
      </c>
      <c r="N44" s="500" t="s">
        <v>309</v>
      </c>
      <c r="O44" s="499">
        <v>15654.92</v>
      </c>
      <c r="P44" s="500" t="s">
        <v>309</v>
      </c>
      <c r="Q44" s="499">
        <v>16334.72</v>
      </c>
      <c r="R44" s="500" t="s">
        <v>309</v>
      </c>
      <c r="S44" s="499">
        <v>16319.87</v>
      </c>
      <c r="T44" s="499" t="s">
        <v>309</v>
      </c>
      <c r="U44" s="501">
        <v>17300.78</v>
      </c>
      <c r="V44" s="499" t="s">
        <v>309</v>
      </c>
      <c r="W44" s="503">
        <v>8932.07</v>
      </c>
      <c r="X44" s="500" t="s">
        <v>309</v>
      </c>
      <c r="Y44" s="499">
        <v>9043.85</v>
      </c>
      <c r="Z44" s="500" t="s">
        <v>309</v>
      </c>
      <c r="AA44" s="499">
        <v>9590.18</v>
      </c>
      <c r="AB44" s="499" t="s">
        <v>309</v>
      </c>
      <c r="AC44" s="501">
        <v>10024.9</v>
      </c>
      <c r="AD44" s="499" t="s">
        <v>309</v>
      </c>
      <c r="AE44" s="502">
        <v>10372.39</v>
      </c>
      <c r="AF44" s="504" t="s">
        <v>309</v>
      </c>
    </row>
    <row r="45" spans="1:32" ht="15">
      <c r="A45" s="482" t="s">
        <v>324</v>
      </c>
      <c r="B45" s="483"/>
      <c r="C45" s="484" t="s">
        <v>310</v>
      </c>
      <c r="D45" s="491" t="s">
        <v>106</v>
      </c>
      <c r="E45" s="484" t="s">
        <v>310</v>
      </c>
      <c r="F45" s="491" t="s">
        <v>106</v>
      </c>
      <c r="G45" s="484" t="s">
        <v>310</v>
      </c>
      <c r="H45" s="484" t="s">
        <v>106</v>
      </c>
      <c r="I45" s="493" t="s">
        <v>310</v>
      </c>
      <c r="J45" s="488" t="s">
        <v>106</v>
      </c>
      <c r="K45" s="494" t="s">
        <v>310</v>
      </c>
      <c r="L45" s="484" t="s">
        <v>106</v>
      </c>
      <c r="M45" s="495" t="s">
        <v>310</v>
      </c>
      <c r="N45" s="491" t="s">
        <v>106</v>
      </c>
      <c r="O45" s="484">
        <v>17</v>
      </c>
      <c r="P45" s="491" t="s">
        <v>309</v>
      </c>
      <c r="Q45" s="484">
        <v>0.02</v>
      </c>
      <c r="R45" s="491" t="s">
        <v>309</v>
      </c>
      <c r="S45" s="484" t="s">
        <v>279</v>
      </c>
      <c r="T45" s="484" t="s">
        <v>309</v>
      </c>
      <c r="U45" s="493">
        <v>0.02</v>
      </c>
      <c r="V45" s="484" t="s">
        <v>309</v>
      </c>
      <c r="W45" s="495" t="s">
        <v>310</v>
      </c>
      <c r="X45" s="491" t="s">
        <v>106</v>
      </c>
      <c r="Y45" s="484" t="s">
        <v>279</v>
      </c>
      <c r="Z45" s="491" t="s">
        <v>309</v>
      </c>
      <c r="AA45" s="484" t="s">
        <v>279</v>
      </c>
      <c r="AB45" s="484" t="s">
        <v>309</v>
      </c>
      <c r="AC45" s="493" t="s">
        <v>279</v>
      </c>
      <c r="AD45" s="488" t="s">
        <v>309</v>
      </c>
      <c r="AE45" s="494" t="s">
        <v>279</v>
      </c>
      <c r="AF45" s="492" t="s">
        <v>309</v>
      </c>
    </row>
    <row r="46" spans="1:32" ht="15">
      <c r="A46" s="482" t="s">
        <v>325</v>
      </c>
      <c r="B46" s="483"/>
      <c r="C46" s="484" t="s">
        <v>279</v>
      </c>
      <c r="D46" s="491" t="s">
        <v>309</v>
      </c>
      <c r="E46" s="484" t="s">
        <v>279</v>
      </c>
      <c r="F46" s="491" t="s">
        <v>309</v>
      </c>
      <c r="G46" s="484" t="s">
        <v>279</v>
      </c>
      <c r="H46" s="484" t="s">
        <v>309</v>
      </c>
      <c r="I46" s="493" t="s">
        <v>279</v>
      </c>
      <c r="J46" s="488" t="s">
        <v>309</v>
      </c>
      <c r="K46" s="494" t="s">
        <v>279</v>
      </c>
      <c r="L46" s="484" t="s">
        <v>309</v>
      </c>
      <c r="M46" s="495" t="s">
        <v>279</v>
      </c>
      <c r="N46" s="491" t="s">
        <v>309</v>
      </c>
      <c r="O46" s="484" t="s">
        <v>279</v>
      </c>
      <c r="P46" s="491" t="s">
        <v>309</v>
      </c>
      <c r="Q46" s="484">
        <v>0.01</v>
      </c>
      <c r="R46" s="491" t="s">
        <v>309</v>
      </c>
      <c r="S46" s="484">
        <v>0.01</v>
      </c>
      <c r="T46" s="484" t="s">
        <v>309</v>
      </c>
      <c r="U46" s="493">
        <v>0.01</v>
      </c>
      <c r="V46" s="484" t="s">
        <v>309</v>
      </c>
      <c r="W46" s="495" t="s">
        <v>279</v>
      </c>
      <c r="X46" s="491" t="s">
        <v>309</v>
      </c>
      <c r="Y46" s="484" t="s">
        <v>279</v>
      </c>
      <c r="Z46" s="491" t="s">
        <v>309</v>
      </c>
      <c r="AA46" s="484" t="s">
        <v>279</v>
      </c>
      <c r="AB46" s="484" t="s">
        <v>309</v>
      </c>
      <c r="AC46" s="493" t="s">
        <v>279</v>
      </c>
      <c r="AD46" s="488" t="s">
        <v>309</v>
      </c>
      <c r="AE46" s="494" t="s">
        <v>279</v>
      </c>
      <c r="AF46" s="492" t="s">
        <v>309</v>
      </c>
    </row>
    <row r="47" spans="1:32" ht="15">
      <c r="A47" s="482" t="s">
        <v>326</v>
      </c>
      <c r="B47" s="483"/>
      <c r="C47" s="484">
        <v>55.9</v>
      </c>
      <c r="D47" s="491" t="s">
        <v>309</v>
      </c>
      <c r="E47" s="484">
        <v>58</v>
      </c>
      <c r="F47" s="491" t="s">
        <v>309</v>
      </c>
      <c r="G47" s="484">
        <v>59</v>
      </c>
      <c r="H47" s="484" t="s">
        <v>309</v>
      </c>
      <c r="I47" s="493">
        <v>60.6</v>
      </c>
      <c r="J47" s="488" t="s">
        <v>309</v>
      </c>
      <c r="K47" s="494">
        <v>60.6</v>
      </c>
      <c r="L47" s="484" t="s">
        <v>309</v>
      </c>
      <c r="M47" s="495">
        <v>31.7</v>
      </c>
      <c r="N47" s="491" t="s">
        <v>309</v>
      </c>
      <c r="O47" s="484">
        <v>21.8</v>
      </c>
      <c r="P47" s="491" t="s">
        <v>309</v>
      </c>
      <c r="Q47" s="484">
        <v>22.9</v>
      </c>
      <c r="R47" s="491" t="s">
        <v>309</v>
      </c>
      <c r="S47" s="484">
        <v>25.3</v>
      </c>
      <c r="T47" s="484" t="s">
        <v>309</v>
      </c>
      <c r="U47" s="493">
        <v>25.3</v>
      </c>
      <c r="V47" s="484" t="s">
        <v>309</v>
      </c>
      <c r="W47" s="495">
        <v>0.1</v>
      </c>
      <c r="X47" s="491" t="s">
        <v>309</v>
      </c>
      <c r="Y47" s="484" t="s">
        <v>279</v>
      </c>
      <c r="Z47" s="491" t="s">
        <v>309</v>
      </c>
      <c r="AA47" s="484">
        <v>0.3</v>
      </c>
      <c r="AB47" s="484" t="s">
        <v>309</v>
      </c>
      <c r="AC47" s="493" t="s">
        <v>279</v>
      </c>
      <c r="AD47" s="488" t="s">
        <v>309</v>
      </c>
      <c r="AE47" s="494" t="s">
        <v>279</v>
      </c>
      <c r="AF47" s="492" t="s">
        <v>309</v>
      </c>
    </row>
    <row r="48" spans="1:32" ht="15">
      <c r="A48" s="482" t="s">
        <v>327</v>
      </c>
      <c r="B48" s="483"/>
      <c r="C48" s="484" t="s">
        <v>310</v>
      </c>
      <c r="D48" s="491" t="s">
        <v>106</v>
      </c>
      <c r="E48" s="484" t="s">
        <v>310</v>
      </c>
      <c r="F48" s="491" t="s">
        <v>106</v>
      </c>
      <c r="G48" s="484" t="s">
        <v>310</v>
      </c>
      <c r="H48" s="484" t="s">
        <v>106</v>
      </c>
      <c r="I48" s="493" t="s">
        <v>310</v>
      </c>
      <c r="J48" s="488" t="s">
        <v>106</v>
      </c>
      <c r="K48" s="494" t="s">
        <v>310</v>
      </c>
      <c r="L48" s="484" t="s">
        <v>106</v>
      </c>
      <c r="M48" s="495">
        <v>0.07</v>
      </c>
      <c r="N48" s="491" t="s">
        <v>309</v>
      </c>
      <c r="O48" s="484">
        <v>0.07</v>
      </c>
      <c r="P48" s="491" t="s">
        <v>309</v>
      </c>
      <c r="Q48" s="484">
        <v>0.07</v>
      </c>
      <c r="R48" s="491" t="s">
        <v>309</v>
      </c>
      <c r="S48" s="484">
        <v>0.07</v>
      </c>
      <c r="T48" s="484" t="s">
        <v>309</v>
      </c>
      <c r="U48" s="493">
        <v>0.07</v>
      </c>
      <c r="V48" s="484" t="s">
        <v>309</v>
      </c>
      <c r="W48" s="495">
        <v>0.3</v>
      </c>
      <c r="X48" s="491" t="s">
        <v>309</v>
      </c>
      <c r="Y48" s="484">
        <v>0.3</v>
      </c>
      <c r="Z48" s="491" t="s">
        <v>309</v>
      </c>
      <c r="AA48" s="484">
        <v>0.3</v>
      </c>
      <c r="AB48" s="484" t="s">
        <v>309</v>
      </c>
      <c r="AC48" s="493">
        <v>0.3</v>
      </c>
      <c r="AD48" s="488" t="s">
        <v>309</v>
      </c>
      <c r="AE48" s="494">
        <v>0.3</v>
      </c>
      <c r="AF48" s="492" t="s">
        <v>309</v>
      </c>
    </row>
    <row r="49" spans="1:32" ht="15">
      <c r="A49" s="482" t="s">
        <v>328</v>
      </c>
      <c r="B49" s="483"/>
      <c r="C49" s="484" t="s">
        <v>279</v>
      </c>
      <c r="D49" s="491" t="s">
        <v>309</v>
      </c>
      <c r="E49" s="484" t="s">
        <v>279</v>
      </c>
      <c r="F49" s="491" t="s">
        <v>309</v>
      </c>
      <c r="G49" s="484" t="s">
        <v>279</v>
      </c>
      <c r="H49" s="484" t="s">
        <v>309</v>
      </c>
      <c r="I49" s="493" t="s">
        <v>279</v>
      </c>
      <c r="J49" s="488" t="s">
        <v>309</v>
      </c>
      <c r="K49" s="494" t="s">
        <v>279</v>
      </c>
      <c r="L49" s="484" t="s">
        <v>309</v>
      </c>
      <c r="M49" s="495">
        <v>2.31</v>
      </c>
      <c r="N49" s="491" t="s">
        <v>309</v>
      </c>
      <c r="O49" s="484">
        <v>2.31</v>
      </c>
      <c r="P49" s="491" t="s">
        <v>309</v>
      </c>
      <c r="Q49" s="484">
        <v>0.2</v>
      </c>
      <c r="R49" s="491" t="s">
        <v>309</v>
      </c>
      <c r="S49" s="484">
        <v>0.9</v>
      </c>
      <c r="T49" s="484" t="s">
        <v>309</v>
      </c>
      <c r="U49" s="493">
        <v>1.2</v>
      </c>
      <c r="V49" s="484" t="s">
        <v>309</v>
      </c>
      <c r="W49" s="495" t="s">
        <v>279</v>
      </c>
      <c r="X49" s="491" t="s">
        <v>309</v>
      </c>
      <c r="Y49" s="484" t="s">
        <v>279</v>
      </c>
      <c r="Z49" s="491" t="s">
        <v>309</v>
      </c>
      <c r="AA49" s="484" t="s">
        <v>279</v>
      </c>
      <c r="AB49" s="484" t="s">
        <v>309</v>
      </c>
      <c r="AC49" s="493">
        <v>0.2</v>
      </c>
      <c r="AD49" s="488" t="s">
        <v>309</v>
      </c>
      <c r="AE49" s="494">
        <v>0.2</v>
      </c>
      <c r="AF49" s="492" t="s">
        <v>309</v>
      </c>
    </row>
    <row r="50" spans="1:32" ht="15">
      <c r="A50" s="482" t="s">
        <v>329</v>
      </c>
      <c r="B50" s="483"/>
      <c r="C50" s="484" t="s">
        <v>310</v>
      </c>
      <c r="D50" s="491" t="s">
        <v>106</v>
      </c>
      <c r="E50" s="484" t="s">
        <v>310</v>
      </c>
      <c r="F50" s="491" t="s">
        <v>106</v>
      </c>
      <c r="G50" s="484" t="s">
        <v>310</v>
      </c>
      <c r="H50" s="484" t="s">
        <v>106</v>
      </c>
      <c r="I50" s="493" t="s">
        <v>310</v>
      </c>
      <c r="J50" s="488" t="s">
        <v>106</v>
      </c>
      <c r="K50" s="494" t="s">
        <v>310</v>
      </c>
      <c r="L50" s="484" t="s">
        <v>106</v>
      </c>
      <c r="M50" s="495" t="s">
        <v>279</v>
      </c>
      <c r="N50" s="491" t="s">
        <v>309</v>
      </c>
      <c r="O50" s="484" t="s">
        <v>279</v>
      </c>
      <c r="P50" s="491" t="s">
        <v>309</v>
      </c>
      <c r="Q50" s="484">
        <v>1.3</v>
      </c>
      <c r="R50" s="491" t="s">
        <v>309</v>
      </c>
      <c r="S50" s="484">
        <v>1.47</v>
      </c>
      <c r="T50" s="484" t="s">
        <v>309</v>
      </c>
      <c r="U50" s="493">
        <v>0.5</v>
      </c>
      <c r="V50" s="484" t="s">
        <v>309</v>
      </c>
      <c r="W50" s="495" t="s">
        <v>279</v>
      </c>
      <c r="X50" s="491" t="s">
        <v>309</v>
      </c>
      <c r="Y50" s="484" t="s">
        <v>279</v>
      </c>
      <c r="Z50" s="491" t="s">
        <v>309</v>
      </c>
      <c r="AA50" s="484" t="s">
        <v>279</v>
      </c>
      <c r="AB50" s="484" t="s">
        <v>309</v>
      </c>
      <c r="AC50" s="493" t="s">
        <v>279</v>
      </c>
      <c r="AD50" s="488" t="s">
        <v>309</v>
      </c>
      <c r="AE50" s="494" t="s">
        <v>279</v>
      </c>
      <c r="AF50" s="492" t="s">
        <v>309</v>
      </c>
    </row>
    <row r="51" spans="1:32" ht="15">
      <c r="A51" s="482" t="s">
        <v>330</v>
      </c>
      <c r="B51" s="483"/>
      <c r="C51" s="484" t="s">
        <v>279</v>
      </c>
      <c r="D51" s="491" t="s">
        <v>309</v>
      </c>
      <c r="E51" s="484" t="s">
        <v>279</v>
      </c>
      <c r="F51" s="491" t="s">
        <v>309</v>
      </c>
      <c r="G51" s="484" t="s">
        <v>279</v>
      </c>
      <c r="H51" s="484" t="s">
        <v>309</v>
      </c>
      <c r="I51" s="493" t="s">
        <v>279</v>
      </c>
      <c r="J51" s="488" t="s">
        <v>309</v>
      </c>
      <c r="K51" s="494" t="s">
        <v>279</v>
      </c>
      <c r="L51" s="484" t="s">
        <v>309</v>
      </c>
      <c r="M51" s="495" t="s">
        <v>279</v>
      </c>
      <c r="N51" s="491" t="s">
        <v>309</v>
      </c>
      <c r="O51" s="484" t="s">
        <v>279</v>
      </c>
      <c r="P51" s="491" t="s">
        <v>309</v>
      </c>
      <c r="Q51" s="484" t="s">
        <v>279</v>
      </c>
      <c r="R51" s="491" t="s">
        <v>309</v>
      </c>
      <c r="S51" s="484" t="s">
        <v>279</v>
      </c>
      <c r="T51" s="484" t="s">
        <v>309</v>
      </c>
      <c r="U51" s="493" t="s">
        <v>279</v>
      </c>
      <c r="V51" s="484" t="s">
        <v>309</v>
      </c>
      <c r="W51" s="495">
        <v>0.64</v>
      </c>
      <c r="X51" s="491" t="s">
        <v>309</v>
      </c>
      <c r="Y51" s="484">
        <v>0.64</v>
      </c>
      <c r="Z51" s="491" t="s">
        <v>309</v>
      </c>
      <c r="AA51" s="484">
        <v>0.64</v>
      </c>
      <c r="AB51" s="484" t="s">
        <v>309</v>
      </c>
      <c r="AC51" s="493">
        <v>0.64</v>
      </c>
      <c r="AD51" s="488" t="s">
        <v>309</v>
      </c>
      <c r="AE51" s="494">
        <v>0.64</v>
      </c>
      <c r="AF51" s="492" t="s">
        <v>309</v>
      </c>
    </row>
    <row r="52" spans="1:32" ht="15">
      <c r="A52" s="482" t="s">
        <v>331</v>
      </c>
      <c r="B52" s="483"/>
      <c r="C52" s="484">
        <v>4195</v>
      </c>
      <c r="D52" s="491" t="s">
        <v>309</v>
      </c>
      <c r="E52" s="484">
        <v>4436.9</v>
      </c>
      <c r="F52" s="491" t="s">
        <v>309</v>
      </c>
      <c r="G52" s="484">
        <v>4756</v>
      </c>
      <c r="H52" s="484" t="s">
        <v>309</v>
      </c>
      <c r="I52" s="493">
        <v>4915</v>
      </c>
      <c r="J52" s="488" t="s">
        <v>309</v>
      </c>
      <c r="K52" s="494">
        <v>5010</v>
      </c>
      <c r="L52" s="484" t="s">
        <v>309</v>
      </c>
      <c r="M52" s="495">
        <v>36.2</v>
      </c>
      <c r="N52" s="491" t="s">
        <v>309</v>
      </c>
      <c r="O52" s="484">
        <v>33</v>
      </c>
      <c r="P52" s="491" t="s">
        <v>309</v>
      </c>
      <c r="Q52" s="484">
        <v>42</v>
      </c>
      <c r="R52" s="491" t="s">
        <v>309</v>
      </c>
      <c r="S52" s="484">
        <v>40</v>
      </c>
      <c r="T52" s="484" t="s">
        <v>309</v>
      </c>
      <c r="U52" s="493">
        <v>20</v>
      </c>
      <c r="V52" s="484" t="s">
        <v>309</v>
      </c>
      <c r="W52" s="495">
        <v>1614.6</v>
      </c>
      <c r="X52" s="491" t="s">
        <v>309</v>
      </c>
      <c r="Y52" s="484">
        <v>1715</v>
      </c>
      <c r="Z52" s="491" t="s">
        <v>309</v>
      </c>
      <c r="AA52" s="484">
        <v>1799</v>
      </c>
      <c r="AB52" s="484" t="s">
        <v>309</v>
      </c>
      <c r="AC52" s="493">
        <v>1805</v>
      </c>
      <c r="AD52" s="488" t="s">
        <v>309</v>
      </c>
      <c r="AE52" s="494">
        <v>1743</v>
      </c>
      <c r="AF52" s="492" t="s">
        <v>309</v>
      </c>
    </row>
    <row r="53" spans="1:32" ht="15">
      <c r="A53" s="482" t="s">
        <v>332</v>
      </c>
      <c r="B53" s="483"/>
      <c r="C53" s="484">
        <v>23</v>
      </c>
      <c r="D53" s="491" t="s">
        <v>309</v>
      </c>
      <c r="E53" s="484">
        <v>27</v>
      </c>
      <c r="F53" s="491" t="s">
        <v>309</v>
      </c>
      <c r="G53" s="484">
        <v>27</v>
      </c>
      <c r="H53" s="484" t="s">
        <v>309</v>
      </c>
      <c r="I53" s="493">
        <v>27</v>
      </c>
      <c r="J53" s="488" t="s">
        <v>309</v>
      </c>
      <c r="K53" s="494">
        <v>27</v>
      </c>
      <c r="L53" s="484" t="s">
        <v>309</v>
      </c>
      <c r="M53" s="495">
        <v>36.72</v>
      </c>
      <c r="N53" s="491" t="s">
        <v>309</v>
      </c>
      <c r="O53" s="484">
        <v>48.22</v>
      </c>
      <c r="P53" s="491" t="s">
        <v>309</v>
      </c>
      <c r="Q53" s="484">
        <v>56.04</v>
      </c>
      <c r="R53" s="491" t="s">
        <v>309</v>
      </c>
      <c r="S53" s="484">
        <v>70.99</v>
      </c>
      <c r="T53" s="484" t="s">
        <v>309</v>
      </c>
      <c r="U53" s="493">
        <v>80.69</v>
      </c>
      <c r="V53" s="484" t="s">
        <v>309</v>
      </c>
      <c r="W53" s="495" t="s">
        <v>279</v>
      </c>
      <c r="X53" s="491" t="s">
        <v>309</v>
      </c>
      <c r="Y53" s="484">
        <v>0.05</v>
      </c>
      <c r="Z53" s="491" t="s">
        <v>309</v>
      </c>
      <c r="AA53" s="484" t="s">
        <v>279</v>
      </c>
      <c r="AB53" s="484" t="s">
        <v>309</v>
      </c>
      <c r="AC53" s="493" t="s">
        <v>279</v>
      </c>
      <c r="AD53" s="488" t="s">
        <v>309</v>
      </c>
      <c r="AE53" s="494">
        <v>0.31</v>
      </c>
      <c r="AF53" s="492" t="s">
        <v>309</v>
      </c>
    </row>
    <row r="54" spans="1:32" ht="15">
      <c r="A54" s="482" t="s">
        <v>333</v>
      </c>
      <c r="B54" s="483"/>
      <c r="C54" s="484" t="s">
        <v>310</v>
      </c>
      <c r="D54" s="491" t="s">
        <v>106</v>
      </c>
      <c r="E54" s="484" t="s">
        <v>310</v>
      </c>
      <c r="F54" s="491" t="s">
        <v>106</v>
      </c>
      <c r="G54" s="484" t="s">
        <v>310</v>
      </c>
      <c r="H54" s="484" t="s">
        <v>106</v>
      </c>
      <c r="I54" s="493" t="s">
        <v>310</v>
      </c>
      <c r="J54" s="488" t="s">
        <v>106</v>
      </c>
      <c r="K54" s="494" t="s">
        <v>310</v>
      </c>
      <c r="L54" s="484" t="s">
        <v>106</v>
      </c>
      <c r="M54" s="495">
        <v>1.27</v>
      </c>
      <c r="N54" s="491" t="s">
        <v>309</v>
      </c>
      <c r="O54" s="484">
        <v>2.45</v>
      </c>
      <c r="P54" s="491" t="s">
        <v>309</v>
      </c>
      <c r="Q54" s="484">
        <v>1.64</v>
      </c>
      <c r="R54" s="491" t="s">
        <v>309</v>
      </c>
      <c r="S54" s="484">
        <v>0.52</v>
      </c>
      <c r="T54" s="484" t="s">
        <v>309</v>
      </c>
      <c r="U54" s="493">
        <v>0.52</v>
      </c>
      <c r="V54" s="484" t="s">
        <v>309</v>
      </c>
      <c r="W54" s="495" t="s">
        <v>310</v>
      </c>
      <c r="X54" s="491" t="s">
        <v>106</v>
      </c>
      <c r="Y54" s="484" t="s">
        <v>310</v>
      </c>
      <c r="Z54" s="491" t="s">
        <v>106</v>
      </c>
      <c r="AA54" s="484" t="s">
        <v>310</v>
      </c>
      <c r="AB54" s="484" t="s">
        <v>106</v>
      </c>
      <c r="AC54" s="493" t="s">
        <v>310</v>
      </c>
      <c r="AD54" s="488" t="s">
        <v>106</v>
      </c>
      <c r="AE54" s="494" t="s">
        <v>310</v>
      </c>
      <c r="AF54" s="492" t="s">
        <v>106</v>
      </c>
    </row>
    <row r="55" spans="1:32" ht="15.75">
      <c r="A55" s="505" t="s">
        <v>334</v>
      </c>
      <c r="B55" s="498"/>
      <c r="C55" s="499">
        <v>4273.9</v>
      </c>
      <c r="D55" s="500" t="s">
        <v>309</v>
      </c>
      <c r="E55" s="499">
        <v>4521.9</v>
      </c>
      <c r="F55" s="500" t="s">
        <v>309</v>
      </c>
      <c r="G55" s="499">
        <v>4842</v>
      </c>
      <c r="H55" s="499" t="s">
        <v>309</v>
      </c>
      <c r="I55" s="501">
        <v>5002.6</v>
      </c>
      <c r="J55" s="499" t="s">
        <v>309</v>
      </c>
      <c r="K55" s="502">
        <v>5097.6</v>
      </c>
      <c r="L55" s="499" t="s">
        <v>309</v>
      </c>
      <c r="M55" s="503">
        <v>108.27</v>
      </c>
      <c r="N55" s="500" t="s">
        <v>309</v>
      </c>
      <c r="O55" s="499">
        <v>124.85</v>
      </c>
      <c r="P55" s="500" t="s">
        <v>309</v>
      </c>
      <c r="Q55" s="499">
        <v>124.19</v>
      </c>
      <c r="R55" s="500" t="s">
        <v>309</v>
      </c>
      <c r="S55" s="499">
        <v>139.26</v>
      </c>
      <c r="T55" s="499" t="s">
        <v>309</v>
      </c>
      <c r="U55" s="501">
        <v>128.32</v>
      </c>
      <c r="V55" s="499" t="s">
        <v>309</v>
      </c>
      <c r="W55" s="503">
        <v>1615.64</v>
      </c>
      <c r="X55" s="500" t="s">
        <v>309</v>
      </c>
      <c r="Y55" s="499">
        <v>1715.99</v>
      </c>
      <c r="Z55" s="500" t="s">
        <v>309</v>
      </c>
      <c r="AA55" s="499">
        <v>1800.24</v>
      </c>
      <c r="AB55" s="499" t="s">
        <v>309</v>
      </c>
      <c r="AC55" s="501">
        <v>1806.14</v>
      </c>
      <c r="AD55" s="499" t="s">
        <v>309</v>
      </c>
      <c r="AE55" s="502">
        <v>1744.45</v>
      </c>
      <c r="AF55" s="504" t="s">
        <v>309</v>
      </c>
    </row>
    <row r="56" spans="1:32" ht="15">
      <c r="A56" s="482" t="s">
        <v>256</v>
      </c>
      <c r="B56" s="483"/>
      <c r="C56" s="484">
        <v>13553</v>
      </c>
      <c r="D56" s="491" t="s">
        <v>309</v>
      </c>
      <c r="E56" s="484">
        <v>12979</v>
      </c>
      <c r="F56" s="491" t="s">
        <v>309</v>
      </c>
      <c r="G56" s="484">
        <v>13381</v>
      </c>
      <c r="H56" s="484" t="s">
        <v>309</v>
      </c>
      <c r="I56" s="493">
        <v>13436</v>
      </c>
      <c r="J56" s="488" t="s">
        <v>309</v>
      </c>
      <c r="K56" s="494">
        <v>13452</v>
      </c>
      <c r="L56" s="484" t="s">
        <v>309</v>
      </c>
      <c r="M56" s="495">
        <v>233.27</v>
      </c>
      <c r="N56" s="491" t="s">
        <v>309</v>
      </c>
      <c r="O56" s="484">
        <v>222</v>
      </c>
      <c r="P56" s="491" t="s">
        <v>309</v>
      </c>
      <c r="Q56" s="484">
        <v>241</v>
      </c>
      <c r="R56" s="491" t="s">
        <v>309</v>
      </c>
      <c r="S56" s="484">
        <v>454.02</v>
      </c>
      <c r="T56" s="484" t="s">
        <v>309</v>
      </c>
      <c r="U56" s="493">
        <v>424.12</v>
      </c>
      <c r="V56" s="484" t="s">
        <v>309</v>
      </c>
      <c r="W56" s="495">
        <v>9837.24</v>
      </c>
      <c r="X56" s="491" t="s">
        <v>309</v>
      </c>
      <c r="Y56" s="484">
        <v>9505</v>
      </c>
      <c r="Z56" s="491" t="s">
        <v>309</v>
      </c>
      <c r="AA56" s="484">
        <v>9931</v>
      </c>
      <c r="AB56" s="484" t="s">
        <v>309</v>
      </c>
      <c r="AC56" s="493">
        <v>9230.42</v>
      </c>
      <c r="AD56" s="488" t="s">
        <v>309</v>
      </c>
      <c r="AE56" s="494">
        <v>9247.33</v>
      </c>
      <c r="AF56" s="492" t="s">
        <v>309</v>
      </c>
    </row>
    <row r="57" spans="1:32" ht="15">
      <c r="A57" s="482" t="s">
        <v>254</v>
      </c>
      <c r="B57" s="483"/>
      <c r="C57" s="484">
        <v>48198.47</v>
      </c>
      <c r="D57" s="491" t="s">
        <v>309</v>
      </c>
      <c r="E57" s="484">
        <v>45079.71</v>
      </c>
      <c r="F57" s="491" t="s">
        <v>309</v>
      </c>
      <c r="G57" s="484">
        <v>45199.44</v>
      </c>
      <c r="H57" s="484" t="s">
        <v>309</v>
      </c>
      <c r="I57" s="493">
        <v>45183.11</v>
      </c>
      <c r="J57" s="488" t="s">
        <v>309</v>
      </c>
      <c r="K57" s="494">
        <v>46106.44</v>
      </c>
      <c r="L57" s="484" t="s">
        <v>309</v>
      </c>
      <c r="M57" s="495">
        <v>6108</v>
      </c>
      <c r="N57" s="491" t="s">
        <v>309</v>
      </c>
      <c r="O57" s="484">
        <v>6224.4</v>
      </c>
      <c r="P57" s="491" t="s">
        <v>309</v>
      </c>
      <c r="Q57" s="484">
        <v>6161.4</v>
      </c>
      <c r="R57" s="491" t="s">
        <v>309</v>
      </c>
      <c r="S57" s="484">
        <v>5693.74</v>
      </c>
      <c r="T57" s="484" t="s">
        <v>309</v>
      </c>
      <c r="U57" s="493">
        <v>5716.48</v>
      </c>
      <c r="V57" s="484" t="s">
        <v>309</v>
      </c>
      <c r="W57" s="495">
        <v>5027</v>
      </c>
      <c r="X57" s="491" t="s">
        <v>309</v>
      </c>
      <c r="Y57" s="484">
        <v>4945.77</v>
      </c>
      <c r="Z57" s="491" t="s">
        <v>309</v>
      </c>
      <c r="AA57" s="484">
        <v>5042.59</v>
      </c>
      <c r="AB57" s="484" t="s">
        <v>309</v>
      </c>
      <c r="AC57" s="493">
        <v>4634.28</v>
      </c>
      <c r="AD57" s="488" t="s">
        <v>309</v>
      </c>
      <c r="AE57" s="494">
        <v>4814.38</v>
      </c>
      <c r="AF57" s="492" t="s">
        <v>309</v>
      </c>
    </row>
    <row r="58" spans="1:32" ht="16.5" thickBot="1">
      <c r="A58" s="506" t="s">
        <v>335</v>
      </c>
      <c r="B58" s="507">
        <v>61</v>
      </c>
      <c r="C58" s="508">
        <v>61751.47</v>
      </c>
      <c r="D58" s="509" t="s">
        <v>309</v>
      </c>
      <c r="E58" s="508">
        <v>58058.71</v>
      </c>
      <c r="F58" s="509" t="s">
        <v>309</v>
      </c>
      <c r="G58" s="508">
        <v>58580.44</v>
      </c>
      <c r="H58" s="508" t="s">
        <v>309</v>
      </c>
      <c r="I58" s="510">
        <v>58619.11</v>
      </c>
      <c r="J58" s="508" t="s">
        <v>309</v>
      </c>
      <c r="K58" s="511">
        <v>59558.44</v>
      </c>
      <c r="L58" s="508" t="s">
        <v>309</v>
      </c>
      <c r="M58" s="512">
        <v>6341.27</v>
      </c>
      <c r="N58" s="509" t="s">
        <v>309</v>
      </c>
      <c r="O58" s="508">
        <v>6446.4</v>
      </c>
      <c r="P58" s="509" t="s">
        <v>309</v>
      </c>
      <c r="Q58" s="508">
        <v>6402.4</v>
      </c>
      <c r="R58" s="509" t="s">
        <v>309</v>
      </c>
      <c r="S58" s="508">
        <v>6147.76</v>
      </c>
      <c r="T58" s="508" t="s">
        <v>309</v>
      </c>
      <c r="U58" s="510">
        <v>6140.59</v>
      </c>
      <c r="V58" s="508" t="s">
        <v>309</v>
      </c>
      <c r="W58" s="512">
        <v>14864.24</v>
      </c>
      <c r="X58" s="509" t="s">
        <v>309</v>
      </c>
      <c r="Y58" s="508">
        <v>14450.77</v>
      </c>
      <c r="Z58" s="509" t="s">
        <v>309</v>
      </c>
      <c r="AA58" s="508">
        <v>14973.59</v>
      </c>
      <c r="AB58" s="508" t="s">
        <v>309</v>
      </c>
      <c r="AC58" s="510">
        <v>13864.7</v>
      </c>
      <c r="AD58" s="508" t="s">
        <v>309</v>
      </c>
      <c r="AE58" s="511">
        <v>14061.72</v>
      </c>
      <c r="AF58" s="513" t="s">
        <v>309</v>
      </c>
    </row>
    <row r="59" ht="13.5" thickTop="1"/>
  </sheetData>
  <mergeCells count="1">
    <mergeCell ref="C4:D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sheetPr codeName="Tabelle19">
    <tabColor indexed="12"/>
  </sheetPr>
  <dimension ref="A1:BH89"/>
  <sheetViews>
    <sheetView workbookViewId="0" topLeftCell="A1">
      <selection activeCell="A1" sqref="A1"/>
    </sheetView>
  </sheetViews>
  <sheetFormatPr defaultColWidth="9.140625" defaultRowHeight="12.75"/>
  <cols>
    <col min="1" max="1" width="11.421875" style="0" customWidth="1"/>
    <col min="2" max="2" width="13.00390625" style="0" customWidth="1"/>
    <col min="3" max="3" width="14.8515625" style="0" customWidth="1"/>
    <col min="4" max="4" width="13.7109375" style="0" bestFit="1" customWidth="1"/>
    <col min="5" max="5" width="14.7109375" style="0" bestFit="1" customWidth="1"/>
    <col min="6" max="6" width="13.8515625" style="0" customWidth="1"/>
    <col min="7" max="7" width="13.7109375" style="0" bestFit="1" customWidth="1"/>
    <col min="8" max="8" width="15.421875" style="0" customWidth="1"/>
    <col min="9" max="9" width="13.7109375" style="0" bestFit="1" customWidth="1"/>
    <col min="10" max="10" width="13.421875" style="0" customWidth="1"/>
    <col min="11" max="11" width="14.140625" style="0" customWidth="1"/>
    <col min="12" max="12" width="14.421875" style="0" customWidth="1"/>
    <col min="13" max="13" width="13.7109375" style="0" bestFit="1" customWidth="1"/>
    <col min="14" max="15" width="14.140625" style="0" customWidth="1"/>
    <col min="16" max="16" width="12.7109375" style="0" customWidth="1"/>
    <col min="17" max="17" width="11.421875" style="0" customWidth="1"/>
    <col min="18" max="18" width="12.140625" style="0" customWidth="1"/>
    <col min="19" max="19" width="12.28125" style="0" customWidth="1"/>
    <col min="20" max="20" width="12.7109375" style="0" customWidth="1"/>
    <col min="21" max="21" width="12.57421875" style="0" customWidth="1"/>
    <col min="22" max="23" width="11.421875" style="0" customWidth="1"/>
    <col min="24" max="24" width="12.28125" style="0" customWidth="1"/>
    <col min="25" max="25" width="12.8515625" style="0" customWidth="1"/>
    <col min="26" max="26" width="12.140625" style="0" customWidth="1"/>
    <col min="27" max="27" width="12.7109375" style="0" customWidth="1"/>
    <col min="28" max="28" width="14.8515625" style="0" customWidth="1"/>
    <col min="29" max="29" width="15.28125" style="0" customWidth="1"/>
    <col min="30" max="30" width="15.00390625" style="0" customWidth="1"/>
    <col min="31" max="31" width="14.421875" style="0" customWidth="1"/>
    <col min="32" max="32" width="14.7109375" style="0" customWidth="1"/>
    <col min="33" max="33" width="14.8515625" style="0" customWidth="1"/>
    <col min="34" max="34" width="13.7109375" style="0" customWidth="1"/>
    <col min="35" max="35" width="15.421875" style="0" customWidth="1"/>
    <col min="36" max="36" width="14.421875" style="0" customWidth="1"/>
    <col min="37" max="37" width="15.57421875" style="0" customWidth="1"/>
    <col min="38" max="38" width="16.57421875" style="0" customWidth="1"/>
    <col min="39" max="39" width="15.140625" style="0" customWidth="1"/>
    <col min="40" max="40" width="16.00390625" style="0" customWidth="1"/>
    <col min="41" max="46" width="11.421875" style="0" customWidth="1"/>
    <col min="47" max="47" width="13.00390625" style="0" customWidth="1"/>
    <col min="48" max="48" width="15.00390625" style="0" customWidth="1"/>
    <col min="49" max="49" width="14.28125" style="0" customWidth="1"/>
    <col min="50" max="50" width="14.7109375" style="0" customWidth="1"/>
    <col min="51" max="52" width="13.57421875" style="0" customWidth="1"/>
    <col min="53" max="53" width="15.57421875" style="0" customWidth="1"/>
    <col min="54" max="16384" width="11.421875" style="0" customWidth="1"/>
  </cols>
  <sheetData>
    <row r="1" ht="13.5" thickBot="1">
      <c r="A1" s="1515" t="s">
        <v>554</v>
      </c>
    </row>
    <row r="2" spans="1:53" ht="14.25" thickBot="1" thickTop="1">
      <c r="A2" s="265" t="s">
        <v>128</v>
      </c>
      <c r="B2" s="265" t="s">
        <v>129</v>
      </c>
      <c r="C2" s="266"/>
      <c r="D2" s="267"/>
      <c r="E2" s="268" t="s">
        <v>130</v>
      </c>
      <c r="F2" s="269"/>
      <c r="G2" s="267"/>
      <c r="H2" s="268" t="s">
        <v>131</v>
      </c>
      <c r="I2" s="269"/>
      <c r="J2" s="267"/>
      <c r="K2" s="268" t="s">
        <v>132</v>
      </c>
      <c r="L2" s="269"/>
      <c r="M2" s="267"/>
      <c r="N2" s="268" t="s">
        <v>133</v>
      </c>
      <c r="O2" s="269"/>
      <c r="P2" s="267"/>
      <c r="Q2" s="268" t="s">
        <v>134</v>
      </c>
      <c r="R2" s="269"/>
      <c r="S2" s="267"/>
      <c r="T2" s="268" t="s">
        <v>135</v>
      </c>
      <c r="U2" s="269"/>
      <c r="V2" s="267"/>
      <c r="W2" s="268" t="s">
        <v>136</v>
      </c>
      <c r="X2" s="269"/>
      <c r="Y2" s="267"/>
      <c r="Z2" s="268" t="s">
        <v>137</v>
      </c>
      <c r="AA2" s="269"/>
      <c r="AB2" s="267"/>
      <c r="AC2" s="268" t="s">
        <v>138</v>
      </c>
      <c r="AD2" s="269"/>
      <c r="AE2" s="267"/>
      <c r="AF2" s="268" t="s">
        <v>139</v>
      </c>
      <c r="AG2" s="269"/>
      <c r="AH2" s="270" t="s">
        <v>140</v>
      </c>
      <c r="AI2" s="271" t="s">
        <v>141</v>
      </c>
      <c r="AJ2" s="271"/>
      <c r="AK2" s="269"/>
      <c r="AL2" s="268" t="s">
        <v>142</v>
      </c>
      <c r="AM2" s="268"/>
      <c r="AN2" s="269"/>
      <c r="AO2" s="272" t="s">
        <v>143</v>
      </c>
      <c r="AP2" s="273" t="s">
        <v>144</v>
      </c>
      <c r="AQ2" s="273" t="s">
        <v>145</v>
      </c>
      <c r="AR2" s="273" t="s">
        <v>146</v>
      </c>
      <c r="AS2" s="273" t="s">
        <v>147</v>
      </c>
      <c r="AT2" s="274" t="s">
        <v>148</v>
      </c>
      <c r="AU2" s="275" t="s">
        <v>143</v>
      </c>
      <c r="AV2" s="276" t="s">
        <v>144</v>
      </c>
      <c r="AW2" s="276" t="s">
        <v>145</v>
      </c>
      <c r="AX2" s="276" t="s">
        <v>146</v>
      </c>
      <c r="AY2" s="276" t="s">
        <v>147</v>
      </c>
      <c r="AZ2" s="277" t="s">
        <v>148</v>
      </c>
      <c r="BA2" s="278" t="s">
        <v>149</v>
      </c>
    </row>
    <row r="3" spans="1:53" ht="14.25" thickBot="1" thickTop="1">
      <c r="A3" s="265"/>
      <c r="B3" s="265"/>
      <c r="C3" s="266"/>
      <c r="D3" s="279" t="s">
        <v>150</v>
      </c>
      <c r="E3" s="280" t="s">
        <v>151</v>
      </c>
      <c r="F3" s="281" t="s">
        <v>152</v>
      </c>
      <c r="G3" s="279" t="s">
        <v>150</v>
      </c>
      <c r="H3" s="280" t="s">
        <v>151</v>
      </c>
      <c r="I3" s="281" t="s">
        <v>152</v>
      </c>
      <c r="J3" s="279" t="s">
        <v>150</v>
      </c>
      <c r="K3" s="280" t="s">
        <v>151</v>
      </c>
      <c r="L3" s="281" t="s">
        <v>152</v>
      </c>
      <c r="M3" s="279" t="s">
        <v>150</v>
      </c>
      <c r="N3" s="280" t="s">
        <v>151</v>
      </c>
      <c r="O3" s="281" t="s">
        <v>152</v>
      </c>
      <c r="P3" s="279" t="s">
        <v>150</v>
      </c>
      <c r="Q3" s="280" t="s">
        <v>151</v>
      </c>
      <c r="R3" s="281" t="s">
        <v>152</v>
      </c>
      <c r="S3" s="279" t="s">
        <v>150</v>
      </c>
      <c r="T3" s="280" t="s">
        <v>151</v>
      </c>
      <c r="U3" s="281" t="s">
        <v>152</v>
      </c>
      <c r="V3" s="279" t="s">
        <v>150</v>
      </c>
      <c r="W3" s="280" t="s">
        <v>151</v>
      </c>
      <c r="X3" s="281" t="s">
        <v>152</v>
      </c>
      <c r="Y3" s="279" t="s">
        <v>150</v>
      </c>
      <c r="Z3" s="280" t="s">
        <v>151</v>
      </c>
      <c r="AA3" s="281" t="s">
        <v>152</v>
      </c>
      <c r="AB3" s="279" t="s">
        <v>150</v>
      </c>
      <c r="AC3" s="280" t="s">
        <v>151</v>
      </c>
      <c r="AD3" s="281" t="s">
        <v>152</v>
      </c>
      <c r="AE3" s="279" t="s">
        <v>150</v>
      </c>
      <c r="AF3" s="280" t="s">
        <v>151</v>
      </c>
      <c r="AG3" s="281" t="s">
        <v>152</v>
      </c>
      <c r="AH3" s="282" t="s">
        <v>153</v>
      </c>
      <c r="AI3" s="279" t="s">
        <v>150</v>
      </c>
      <c r="AJ3" s="280" t="s">
        <v>151</v>
      </c>
      <c r="AK3" s="281" t="s">
        <v>152</v>
      </c>
      <c r="AL3" s="279" t="s">
        <v>150</v>
      </c>
      <c r="AM3" s="280" t="s">
        <v>151</v>
      </c>
      <c r="AN3" s="281" t="s">
        <v>152</v>
      </c>
      <c r="AO3" s="283"/>
      <c r="AP3" s="284"/>
      <c r="AQ3" s="285" t="s">
        <v>154</v>
      </c>
      <c r="AR3" s="284"/>
      <c r="AS3" s="284"/>
      <c r="AT3" s="286"/>
      <c r="AU3" s="280" t="s">
        <v>155</v>
      </c>
      <c r="AV3" s="280" t="s">
        <v>155</v>
      </c>
      <c r="AW3" s="280" t="s">
        <v>155</v>
      </c>
      <c r="AX3" s="280" t="s">
        <v>155</v>
      </c>
      <c r="AY3" s="280" t="s">
        <v>155</v>
      </c>
      <c r="AZ3" s="287" t="s">
        <v>155</v>
      </c>
      <c r="BA3" s="288" t="s">
        <v>155</v>
      </c>
    </row>
    <row r="4" spans="1:53" ht="13.5" thickTop="1">
      <c r="A4" s="289" t="s">
        <v>156</v>
      </c>
      <c r="B4" s="266" t="s">
        <v>157</v>
      </c>
      <c r="C4" s="290"/>
      <c r="D4" s="291">
        <v>210000</v>
      </c>
      <c r="E4" s="292">
        <v>170000</v>
      </c>
      <c r="F4" s="293">
        <v>230000</v>
      </c>
      <c r="G4" s="291">
        <f>D4/0.5</f>
        <v>420000</v>
      </c>
      <c r="H4" s="292">
        <f>E4/0.5</f>
        <v>340000</v>
      </c>
      <c r="I4" s="293">
        <f>F4/0.5</f>
        <v>460000</v>
      </c>
      <c r="J4" s="291">
        <v>530000</v>
      </c>
      <c r="K4" s="292">
        <v>410000</v>
      </c>
      <c r="L4" s="293">
        <v>550000</v>
      </c>
      <c r="M4" s="291">
        <f>J4/0.5</f>
        <v>1060000</v>
      </c>
      <c r="N4" s="292">
        <f>K4/0.5</f>
        <v>820000</v>
      </c>
      <c r="O4" s="293">
        <f>L4/0.5</f>
        <v>1100000</v>
      </c>
      <c r="P4" s="291">
        <v>25000</v>
      </c>
      <c r="Q4" s="292">
        <v>18000</v>
      </c>
      <c r="R4" s="293">
        <v>30000</v>
      </c>
      <c r="S4" s="294">
        <f aca="true" t="shared" si="0" ref="S4:U5">P4/0.5</f>
        <v>50000</v>
      </c>
      <c r="T4" s="295">
        <f t="shared" si="0"/>
        <v>36000</v>
      </c>
      <c r="U4" s="296">
        <f t="shared" si="0"/>
        <v>60000</v>
      </c>
      <c r="V4" s="291">
        <v>10000</v>
      </c>
      <c r="W4" s="292">
        <v>5000</v>
      </c>
      <c r="X4" s="293">
        <v>30000</v>
      </c>
      <c r="Y4" s="291">
        <f>V4/0.5</f>
        <v>20000</v>
      </c>
      <c r="Z4" s="292">
        <f>W4/0.5</f>
        <v>10000</v>
      </c>
      <c r="AA4" s="293">
        <f>X4/0.5</f>
        <v>60000</v>
      </c>
      <c r="AB4" s="291"/>
      <c r="AC4" s="292"/>
      <c r="AD4" s="293"/>
      <c r="AE4" s="291"/>
      <c r="AF4" s="292"/>
      <c r="AG4" s="293"/>
      <c r="AH4" s="297"/>
      <c r="AI4" s="291">
        <f>D4+J4+P4+V4+AB4</f>
        <v>775000</v>
      </c>
      <c r="AJ4" s="292">
        <f>E4+K4+Q4+W4+AC4</f>
        <v>603000</v>
      </c>
      <c r="AK4" s="293">
        <f aca="true" t="shared" si="1" ref="AK4:AK19">F4+L4+R4+X4+AD4</f>
        <v>840000</v>
      </c>
      <c r="AL4" s="291">
        <f aca="true" t="shared" si="2" ref="AL4:AL26">G4+M4+S4+Y4+AE4</f>
        <v>1550000</v>
      </c>
      <c r="AM4" s="292">
        <f aca="true" t="shared" si="3" ref="AM4:AM26">H4+N4+T4+Z4+AF4</f>
        <v>1206000</v>
      </c>
      <c r="AN4" s="293">
        <f>I4+O4+U4+AA4+AG4</f>
        <v>1680000</v>
      </c>
      <c r="AO4" s="272">
        <v>0.05</v>
      </c>
      <c r="AP4" s="273">
        <v>0.4</v>
      </c>
      <c r="AQ4" s="273">
        <v>0.42</v>
      </c>
      <c r="AR4" s="273">
        <v>0.02</v>
      </c>
      <c r="AS4" s="273">
        <v>0.1</v>
      </c>
      <c r="AT4" s="274">
        <v>0.01</v>
      </c>
      <c r="AU4" s="298">
        <f aca="true" t="shared" si="4" ref="AU4:AZ4">$AI4*AO4</f>
        <v>38750</v>
      </c>
      <c r="AV4" s="299">
        <f t="shared" si="4"/>
        <v>310000</v>
      </c>
      <c r="AW4" s="299">
        <f t="shared" si="4"/>
        <v>325500</v>
      </c>
      <c r="AX4" s="299">
        <f t="shared" si="4"/>
        <v>15500</v>
      </c>
      <c r="AY4" s="299">
        <f t="shared" si="4"/>
        <v>77500</v>
      </c>
      <c r="AZ4" s="300">
        <f t="shared" si="4"/>
        <v>7750</v>
      </c>
      <c r="BA4" s="301">
        <f>SUM(AU4:AZ4)</f>
        <v>775000</v>
      </c>
    </row>
    <row r="5" spans="1:53" ht="12.75">
      <c r="A5" s="289" t="s">
        <v>158</v>
      </c>
      <c r="B5" s="266" t="s">
        <v>159</v>
      </c>
      <c r="C5" s="290"/>
      <c r="D5" s="302"/>
      <c r="E5" s="303"/>
      <c r="F5" s="304"/>
      <c r="G5" s="302"/>
      <c r="H5" s="303"/>
      <c r="I5" s="304"/>
      <c r="J5" s="302"/>
      <c r="K5" s="303"/>
      <c r="L5" s="304"/>
      <c r="M5" s="302"/>
      <c r="N5" s="303"/>
      <c r="O5" s="304"/>
      <c r="P5" s="302">
        <v>13000</v>
      </c>
      <c r="Q5" s="303">
        <v>11000</v>
      </c>
      <c r="R5" s="305">
        <v>18000</v>
      </c>
      <c r="S5" s="302">
        <f t="shared" si="0"/>
        <v>26000</v>
      </c>
      <c r="T5" s="303">
        <f t="shared" si="0"/>
        <v>22000</v>
      </c>
      <c r="U5" s="304">
        <f t="shared" si="0"/>
        <v>36000</v>
      </c>
      <c r="V5" s="306"/>
      <c r="W5" s="303"/>
      <c r="X5" s="304"/>
      <c r="Y5" s="302"/>
      <c r="Z5" s="303"/>
      <c r="AA5" s="304"/>
      <c r="AB5" s="302">
        <v>1450000</v>
      </c>
      <c r="AC5" s="303">
        <v>1170000</v>
      </c>
      <c r="AD5" s="304">
        <v>1830000</v>
      </c>
      <c r="AE5" s="302">
        <f>AB5/0.5</f>
        <v>2900000</v>
      </c>
      <c r="AF5" s="303">
        <f>AC5/0.5</f>
        <v>2340000</v>
      </c>
      <c r="AG5" s="304">
        <f>AD5/0.5</f>
        <v>3660000</v>
      </c>
      <c r="AH5" s="307"/>
      <c r="AI5" s="302">
        <f aca="true" t="shared" si="5" ref="AI5:AI25">D5+J5+P5+V5+AB5</f>
        <v>1463000</v>
      </c>
      <c r="AJ5" s="303">
        <f aca="true" t="shared" si="6" ref="AJ5:AK26">E5+K5+Q5+W5+AC5</f>
        <v>1181000</v>
      </c>
      <c r="AK5" s="304">
        <f t="shared" si="1"/>
        <v>1848000</v>
      </c>
      <c r="AL5" s="302">
        <f t="shared" si="2"/>
        <v>2926000</v>
      </c>
      <c r="AM5" s="303">
        <f t="shared" si="3"/>
        <v>2362000</v>
      </c>
      <c r="AN5" s="304">
        <f aca="true" t="shared" si="7" ref="AN5:AN26">I5+O5+U5+AA5+AG5</f>
        <v>3696000</v>
      </c>
      <c r="AO5" s="308">
        <v>0.38</v>
      </c>
      <c r="AP5" s="265">
        <v>0.28</v>
      </c>
      <c r="AQ5" s="265">
        <v>0.02</v>
      </c>
      <c r="AR5" s="265">
        <v>0.02</v>
      </c>
      <c r="AS5" s="265">
        <v>0.1</v>
      </c>
      <c r="AT5" s="309">
        <v>0.2</v>
      </c>
      <c r="AU5" s="310">
        <f aca="true" t="shared" si="8" ref="AU5:AU25">$AI5*AO5</f>
        <v>555940</v>
      </c>
      <c r="AV5" s="311">
        <f aca="true" t="shared" si="9" ref="AV5:AV25">$AI5*AP5</f>
        <v>409640.00000000006</v>
      </c>
      <c r="AW5" s="311">
        <f aca="true" t="shared" si="10" ref="AW5:AW25">$AI5*AQ5</f>
        <v>29260</v>
      </c>
      <c r="AX5" s="311">
        <f aca="true" t="shared" si="11" ref="AX5:AX24">$AI5*AR5</f>
        <v>29260</v>
      </c>
      <c r="AY5" s="311">
        <f aca="true" t="shared" si="12" ref="AY5:AY25">$AI5*AS5</f>
        <v>146300</v>
      </c>
      <c r="AZ5" s="312">
        <f aca="true" t="shared" si="13" ref="AZ5:AZ25">$AI5*AT5</f>
        <v>292600</v>
      </c>
      <c r="BA5" s="313">
        <f aca="true" t="shared" si="14" ref="BA5:BA25">SUM(AU5:AZ5)</f>
        <v>1463000</v>
      </c>
    </row>
    <row r="6" spans="1:53" ht="12.75">
      <c r="A6" s="289" t="s">
        <v>160</v>
      </c>
      <c r="B6" s="266" t="s">
        <v>161</v>
      </c>
      <c r="C6" s="290"/>
      <c r="D6" s="302">
        <f>G6*0.5</f>
        <v>56250</v>
      </c>
      <c r="E6" s="303">
        <f>H6*0.5</f>
        <v>56250</v>
      </c>
      <c r="F6" s="304">
        <f>I6*0.5</f>
        <v>56250</v>
      </c>
      <c r="G6" s="302">
        <v>112500</v>
      </c>
      <c r="H6" s="303">
        <v>112500</v>
      </c>
      <c r="I6" s="304">
        <v>112500</v>
      </c>
      <c r="J6" s="302">
        <f>M6*0.5</f>
        <v>105000</v>
      </c>
      <c r="K6" s="303">
        <v>105000</v>
      </c>
      <c r="L6" s="304">
        <v>105000</v>
      </c>
      <c r="M6" s="302">
        <v>210000</v>
      </c>
      <c r="N6" s="303">
        <v>210000</v>
      </c>
      <c r="O6" s="304">
        <v>210000</v>
      </c>
      <c r="P6" s="302">
        <f>S6*0.5</f>
        <v>2050</v>
      </c>
      <c r="Q6" s="303">
        <v>2050</v>
      </c>
      <c r="R6" s="304">
        <v>2050</v>
      </c>
      <c r="S6" s="302">
        <v>4100</v>
      </c>
      <c r="T6" s="303">
        <v>4100</v>
      </c>
      <c r="U6" s="304">
        <v>4100</v>
      </c>
      <c r="V6" s="302">
        <v>0</v>
      </c>
      <c r="W6" s="303"/>
      <c r="X6" s="304"/>
      <c r="Y6" s="302">
        <v>0</v>
      </c>
      <c r="Z6" s="303"/>
      <c r="AA6" s="304"/>
      <c r="AB6" s="302"/>
      <c r="AC6" s="303"/>
      <c r="AD6" s="304"/>
      <c r="AE6" s="302"/>
      <c r="AF6" s="303"/>
      <c r="AG6" s="304"/>
      <c r="AH6" s="307"/>
      <c r="AI6" s="302">
        <f t="shared" si="5"/>
        <v>163300</v>
      </c>
      <c r="AJ6" s="303">
        <f t="shared" si="6"/>
        <v>163300</v>
      </c>
      <c r="AK6" s="304">
        <f t="shared" si="1"/>
        <v>163300</v>
      </c>
      <c r="AL6" s="302">
        <f t="shared" si="2"/>
        <v>326600</v>
      </c>
      <c r="AM6" s="303">
        <f t="shared" si="3"/>
        <v>326600</v>
      </c>
      <c r="AN6" s="304">
        <f t="shared" si="7"/>
        <v>326600</v>
      </c>
      <c r="AO6" s="308">
        <v>0.01</v>
      </c>
      <c r="AP6" s="265">
        <v>0.25</v>
      </c>
      <c r="AQ6" s="265">
        <v>0.35</v>
      </c>
      <c r="AR6" s="265">
        <v>0.01</v>
      </c>
      <c r="AS6" s="265">
        <v>0</v>
      </c>
      <c r="AT6" s="309">
        <v>0.38</v>
      </c>
      <c r="AU6" s="310">
        <f t="shared" si="8"/>
        <v>1633</v>
      </c>
      <c r="AV6" s="311">
        <f t="shared" si="9"/>
        <v>40825</v>
      </c>
      <c r="AW6" s="311">
        <f t="shared" si="10"/>
        <v>57155</v>
      </c>
      <c r="AX6" s="311">
        <f t="shared" si="11"/>
        <v>1633</v>
      </c>
      <c r="AY6" s="311">
        <f t="shared" si="12"/>
        <v>0</v>
      </c>
      <c r="AZ6" s="312">
        <f t="shared" si="13"/>
        <v>62054</v>
      </c>
      <c r="BA6" s="313">
        <f t="shared" si="14"/>
        <v>163300</v>
      </c>
    </row>
    <row r="7" spans="1:53" ht="12.75">
      <c r="A7" s="289" t="s">
        <v>162</v>
      </c>
      <c r="B7" s="266" t="s">
        <v>163</v>
      </c>
      <c r="C7" s="290"/>
      <c r="D7" s="302"/>
      <c r="E7" s="303"/>
      <c r="F7" s="304"/>
      <c r="G7" s="302"/>
      <c r="H7" s="303"/>
      <c r="I7" s="304"/>
      <c r="J7" s="302">
        <v>0</v>
      </c>
      <c r="K7" s="303">
        <v>0</v>
      </c>
      <c r="L7" s="304">
        <v>0</v>
      </c>
      <c r="M7" s="302">
        <v>0</v>
      </c>
      <c r="N7" s="303">
        <v>0</v>
      </c>
      <c r="O7" s="304">
        <v>0</v>
      </c>
      <c r="P7" s="302">
        <f>S7*0.5</f>
        <v>7283.5</v>
      </c>
      <c r="Q7" s="303">
        <f>T7*0.5</f>
        <v>5100</v>
      </c>
      <c r="R7" s="304">
        <f>U7*0.5</f>
        <v>7750</v>
      </c>
      <c r="S7" s="302">
        <v>14567</v>
      </c>
      <c r="T7" s="303">
        <v>10200</v>
      </c>
      <c r="U7" s="304">
        <v>15500</v>
      </c>
      <c r="V7" s="302">
        <f>Y7*0.5</f>
        <v>3750</v>
      </c>
      <c r="W7" s="303">
        <f>Z7*0.5</f>
        <v>3500</v>
      </c>
      <c r="X7" s="304">
        <f>AA7*0.5</f>
        <v>4500</v>
      </c>
      <c r="Y7" s="302">
        <v>7500</v>
      </c>
      <c r="Z7" s="303">
        <v>7000</v>
      </c>
      <c r="AA7" s="304">
        <v>9000</v>
      </c>
      <c r="AB7" s="302">
        <f>AE7*0.5</f>
        <v>850000</v>
      </c>
      <c r="AC7" s="303">
        <f>AF7*0.5</f>
        <v>750000</v>
      </c>
      <c r="AD7" s="304">
        <f>AG7*0.5</f>
        <v>1250000</v>
      </c>
      <c r="AE7" s="302">
        <v>1700000</v>
      </c>
      <c r="AF7" s="303">
        <v>1500000</v>
      </c>
      <c r="AG7" s="304">
        <v>2500000</v>
      </c>
      <c r="AH7" s="307"/>
      <c r="AI7" s="302">
        <f t="shared" si="5"/>
        <v>861033.5</v>
      </c>
      <c r="AJ7" s="303">
        <f t="shared" si="6"/>
        <v>758600</v>
      </c>
      <c r="AK7" s="304">
        <f t="shared" si="1"/>
        <v>1262250</v>
      </c>
      <c r="AL7" s="302">
        <f t="shared" si="2"/>
        <v>1722067</v>
      </c>
      <c r="AM7" s="303">
        <f t="shared" si="3"/>
        <v>1517200</v>
      </c>
      <c r="AN7" s="304">
        <f t="shared" si="7"/>
        <v>2524500</v>
      </c>
      <c r="AO7" s="308">
        <v>0.05</v>
      </c>
      <c r="AP7" s="265">
        <v>0.15</v>
      </c>
      <c r="AQ7" s="265">
        <v>0.7</v>
      </c>
      <c r="AR7" s="265">
        <v>0.05</v>
      </c>
      <c r="AS7" s="265">
        <v>0.02</v>
      </c>
      <c r="AT7" s="309">
        <v>0.03</v>
      </c>
      <c r="AU7" s="310">
        <f t="shared" si="8"/>
        <v>43051.675</v>
      </c>
      <c r="AV7" s="311">
        <f t="shared" si="9"/>
        <v>129155.025</v>
      </c>
      <c r="AW7" s="311">
        <f t="shared" si="10"/>
        <v>602723.45</v>
      </c>
      <c r="AX7" s="311">
        <f t="shared" si="11"/>
        <v>43051.675</v>
      </c>
      <c r="AY7" s="311">
        <f t="shared" si="12"/>
        <v>17220.670000000002</v>
      </c>
      <c r="AZ7" s="312">
        <f t="shared" si="13"/>
        <v>25831.004999999997</v>
      </c>
      <c r="BA7" s="313">
        <f t="shared" si="14"/>
        <v>861033.5</v>
      </c>
    </row>
    <row r="8" spans="1:53" ht="12.75">
      <c r="A8" s="289" t="s">
        <v>164</v>
      </c>
      <c r="B8" s="266" t="s">
        <v>165</v>
      </c>
      <c r="C8" s="290"/>
      <c r="D8" s="302"/>
      <c r="E8" s="303"/>
      <c r="F8" s="304"/>
      <c r="G8" s="302"/>
      <c r="H8" s="303"/>
      <c r="I8" s="304"/>
      <c r="J8" s="302"/>
      <c r="K8" s="303"/>
      <c r="L8" s="304"/>
      <c r="M8" s="302"/>
      <c r="N8" s="303"/>
      <c r="O8" s="304"/>
      <c r="P8" s="302"/>
      <c r="Q8" s="303"/>
      <c r="R8" s="304"/>
      <c r="S8" s="302"/>
      <c r="T8" s="303"/>
      <c r="U8" s="304"/>
      <c r="V8" s="302"/>
      <c r="W8" s="303"/>
      <c r="X8" s="304"/>
      <c r="Y8" s="302"/>
      <c r="Z8" s="303"/>
      <c r="AA8" s="304"/>
      <c r="AB8" s="302"/>
      <c r="AC8" s="303"/>
      <c r="AD8" s="304"/>
      <c r="AE8" s="302"/>
      <c r="AF8" s="303"/>
      <c r="AG8" s="304"/>
      <c r="AH8" s="307"/>
      <c r="AI8" s="302">
        <f t="shared" si="5"/>
        <v>0</v>
      </c>
      <c r="AJ8" s="303">
        <f t="shared" si="6"/>
        <v>0</v>
      </c>
      <c r="AK8" s="304">
        <f t="shared" si="1"/>
        <v>0</v>
      </c>
      <c r="AL8" s="302">
        <f t="shared" si="2"/>
        <v>0</v>
      </c>
      <c r="AM8" s="303">
        <f t="shared" si="3"/>
        <v>0</v>
      </c>
      <c r="AN8" s="304">
        <f t="shared" si="7"/>
        <v>0</v>
      </c>
      <c r="AO8" s="308"/>
      <c r="AP8" s="265"/>
      <c r="AQ8" s="265"/>
      <c r="AR8" s="265"/>
      <c r="AS8" s="265"/>
      <c r="AT8" s="309"/>
      <c r="AU8" s="310">
        <f t="shared" si="8"/>
        <v>0</v>
      </c>
      <c r="AV8" s="311">
        <f t="shared" si="9"/>
        <v>0</v>
      </c>
      <c r="AW8" s="311">
        <f t="shared" si="10"/>
        <v>0</v>
      </c>
      <c r="AX8" s="311">
        <f t="shared" si="11"/>
        <v>0</v>
      </c>
      <c r="AY8" s="311">
        <f t="shared" si="12"/>
        <v>0</v>
      </c>
      <c r="AZ8" s="312">
        <f t="shared" si="13"/>
        <v>0</v>
      </c>
      <c r="BA8" s="313">
        <f t="shared" si="14"/>
        <v>0</v>
      </c>
    </row>
    <row r="9" spans="1:53" ht="12.75">
      <c r="A9" s="289" t="s">
        <v>166</v>
      </c>
      <c r="B9" s="266" t="s">
        <v>167</v>
      </c>
      <c r="C9" s="290"/>
      <c r="D9" s="302"/>
      <c r="E9" s="303"/>
      <c r="F9" s="304"/>
      <c r="G9" s="302"/>
      <c r="H9" s="303"/>
      <c r="I9" s="304"/>
      <c r="J9" s="302"/>
      <c r="K9" s="303"/>
      <c r="L9" s="304"/>
      <c r="M9" s="302"/>
      <c r="N9" s="303"/>
      <c r="O9" s="304"/>
      <c r="P9" s="302"/>
      <c r="Q9" s="303"/>
      <c r="R9" s="304"/>
      <c r="S9" s="302"/>
      <c r="T9" s="303"/>
      <c r="U9" s="304"/>
      <c r="V9" s="302">
        <v>52500</v>
      </c>
      <c r="W9" s="303">
        <v>52500</v>
      </c>
      <c r="X9" s="304">
        <v>52500</v>
      </c>
      <c r="Y9" s="302">
        <f>V9/0.5</f>
        <v>105000</v>
      </c>
      <c r="Z9" s="303">
        <f>W9/0.5</f>
        <v>105000</v>
      </c>
      <c r="AA9" s="304">
        <f>X9/0.5</f>
        <v>105000</v>
      </c>
      <c r="AB9" s="302">
        <v>9122300</v>
      </c>
      <c r="AC9" s="303">
        <v>9122300</v>
      </c>
      <c r="AD9" s="304">
        <v>9122300</v>
      </c>
      <c r="AE9" s="302">
        <f>AB9/0.5</f>
        <v>18244600</v>
      </c>
      <c r="AF9" s="303">
        <f>AC9/0.5</f>
        <v>18244600</v>
      </c>
      <c r="AG9" s="304">
        <f>AD9/0.5</f>
        <v>18244600</v>
      </c>
      <c r="AH9" s="307"/>
      <c r="AI9" s="302">
        <f t="shared" si="5"/>
        <v>9174800</v>
      </c>
      <c r="AJ9" s="303">
        <f t="shared" si="6"/>
        <v>9174800</v>
      </c>
      <c r="AK9" s="304">
        <f t="shared" si="1"/>
        <v>9174800</v>
      </c>
      <c r="AL9" s="302">
        <f t="shared" si="2"/>
        <v>18349600</v>
      </c>
      <c r="AM9" s="303">
        <f t="shared" si="3"/>
        <v>18349600</v>
      </c>
      <c r="AN9" s="304">
        <f t="shared" si="7"/>
        <v>18349600</v>
      </c>
      <c r="AO9" s="308">
        <v>0</v>
      </c>
      <c r="AP9" s="265">
        <v>0.48</v>
      </c>
      <c r="AQ9" s="265">
        <v>0.51</v>
      </c>
      <c r="AR9" s="265">
        <v>0.01</v>
      </c>
      <c r="AS9" s="265">
        <v>0</v>
      </c>
      <c r="AT9" s="309">
        <v>0</v>
      </c>
      <c r="AU9" s="310">
        <f t="shared" si="8"/>
        <v>0</v>
      </c>
      <c r="AV9" s="311">
        <f t="shared" si="9"/>
        <v>4403904</v>
      </c>
      <c r="AW9" s="311">
        <f t="shared" si="10"/>
        <v>4679148</v>
      </c>
      <c r="AX9" s="311">
        <f t="shared" si="11"/>
        <v>91748</v>
      </c>
      <c r="AY9" s="311">
        <f t="shared" si="12"/>
        <v>0</v>
      </c>
      <c r="AZ9" s="312">
        <f t="shared" si="13"/>
        <v>0</v>
      </c>
      <c r="BA9" s="313">
        <f t="shared" si="14"/>
        <v>9174800</v>
      </c>
    </row>
    <row r="10" spans="1:53" ht="12.75">
      <c r="A10" s="289" t="s">
        <v>168</v>
      </c>
      <c r="B10" s="266" t="s">
        <v>169</v>
      </c>
      <c r="C10" s="290"/>
      <c r="D10" s="302"/>
      <c r="E10" s="303"/>
      <c r="F10" s="304"/>
      <c r="G10" s="302"/>
      <c r="H10" s="303"/>
      <c r="I10" s="304"/>
      <c r="J10" s="302"/>
      <c r="K10" s="303"/>
      <c r="L10" s="304"/>
      <c r="M10" s="302"/>
      <c r="N10" s="303"/>
      <c r="O10" s="304"/>
      <c r="P10" s="302"/>
      <c r="Q10" s="303"/>
      <c r="R10" s="304"/>
      <c r="S10" s="302"/>
      <c r="T10" s="303"/>
      <c r="U10" s="304"/>
      <c r="V10" s="302"/>
      <c r="W10" s="303"/>
      <c r="X10" s="304"/>
      <c r="Y10" s="302"/>
      <c r="Z10" s="303"/>
      <c r="AA10" s="304"/>
      <c r="AB10" s="302"/>
      <c r="AC10" s="303"/>
      <c r="AD10" s="304"/>
      <c r="AE10" s="302"/>
      <c r="AF10" s="303"/>
      <c r="AG10" s="304"/>
      <c r="AH10" s="307"/>
      <c r="AI10" s="302">
        <f t="shared" si="5"/>
        <v>0</v>
      </c>
      <c r="AJ10" s="303">
        <f t="shared" si="6"/>
        <v>0</v>
      </c>
      <c r="AK10" s="304">
        <f t="shared" si="1"/>
        <v>0</v>
      </c>
      <c r="AL10" s="302">
        <f t="shared" si="2"/>
        <v>0</v>
      </c>
      <c r="AM10" s="303">
        <f t="shared" si="3"/>
        <v>0</v>
      </c>
      <c r="AN10" s="304">
        <f t="shared" si="7"/>
        <v>0</v>
      </c>
      <c r="AO10" s="308"/>
      <c r="AP10" s="265"/>
      <c r="AQ10" s="265"/>
      <c r="AR10" s="265"/>
      <c r="AS10" s="265"/>
      <c r="AT10" s="309"/>
      <c r="AU10" s="310">
        <f t="shared" si="8"/>
        <v>0</v>
      </c>
      <c r="AV10" s="311">
        <f t="shared" si="9"/>
        <v>0</v>
      </c>
      <c r="AW10" s="311">
        <f t="shared" si="10"/>
        <v>0</v>
      </c>
      <c r="AX10" s="311">
        <f t="shared" si="11"/>
        <v>0</v>
      </c>
      <c r="AY10" s="311">
        <f t="shared" si="12"/>
        <v>0</v>
      </c>
      <c r="AZ10" s="312">
        <f t="shared" si="13"/>
        <v>0</v>
      </c>
      <c r="BA10" s="313">
        <f t="shared" si="14"/>
        <v>0</v>
      </c>
    </row>
    <row r="11" spans="1:53" ht="12.75">
      <c r="A11" s="289" t="s">
        <v>170</v>
      </c>
      <c r="B11" s="266" t="s">
        <v>171</v>
      </c>
      <c r="C11" s="290"/>
      <c r="D11" s="302"/>
      <c r="E11" s="303"/>
      <c r="F11" s="304"/>
      <c r="G11" s="302"/>
      <c r="H11" s="303"/>
      <c r="I11" s="304"/>
      <c r="J11" s="302"/>
      <c r="K11" s="303"/>
      <c r="L11" s="304"/>
      <c r="M11" s="302"/>
      <c r="N11" s="303"/>
      <c r="O11" s="304"/>
      <c r="P11" s="302"/>
      <c r="Q11" s="303"/>
      <c r="R11" s="304"/>
      <c r="S11" s="302"/>
      <c r="T11" s="303"/>
      <c r="U11" s="304"/>
      <c r="V11" s="302"/>
      <c r="W11" s="303"/>
      <c r="X11" s="304"/>
      <c r="Y11" s="302"/>
      <c r="Z11" s="303"/>
      <c r="AA11" s="304"/>
      <c r="AB11" s="302"/>
      <c r="AC11" s="303"/>
      <c r="AD11" s="304"/>
      <c r="AE11" s="302"/>
      <c r="AF11" s="303"/>
      <c r="AG11" s="304"/>
      <c r="AH11" s="307"/>
      <c r="AI11" s="302">
        <f t="shared" si="5"/>
        <v>0</v>
      </c>
      <c r="AJ11" s="303">
        <f t="shared" si="6"/>
        <v>0</v>
      </c>
      <c r="AK11" s="304">
        <f t="shared" si="1"/>
        <v>0</v>
      </c>
      <c r="AL11" s="302">
        <f t="shared" si="2"/>
        <v>0</v>
      </c>
      <c r="AM11" s="303">
        <f t="shared" si="3"/>
        <v>0</v>
      </c>
      <c r="AN11" s="304">
        <f t="shared" si="7"/>
        <v>0</v>
      </c>
      <c r="AO11" s="308"/>
      <c r="AP11" s="265"/>
      <c r="AQ11" s="265"/>
      <c r="AR11" s="265"/>
      <c r="AS11" s="265"/>
      <c r="AT11" s="309"/>
      <c r="AU11" s="310">
        <f t="shared" si="8"/>
        <v>0</v>
      </c>
      <c r="AV11" s="311">
        <f t="shared" si="9"/>
        <v>0</v>
      </c>
      <c r="AW11" s="311">
        <f t="shared" si="10"/>
        <v>0</v>
      </c>
      <c r="AX11" s="311">
        <f t="shared" si="11"/>
        <v>0</v>
      </c>
      <c r="AY11" s="311">
        <f t="shared" si="12"/>
        <v>0</v>
      </c>
      <c r="AZ11" s="312">
        <f t="shared" si="13"/>
        <v>0</v>
      </c>
      <c r="BA11" s="313">
        <f t="shared" si="14"/>
        <v>0</v>
      </c>
    </row>
    <row r="12" spans="1:54" ht="12.75">
      <c r="A12" s="289" t="s">
        <v>172</v>
      </c>
      <c r="B12" s="266" t="s">
        <v>173</v>
      </c>
      <c r="C12" s="290"/>
      <c r="D12" s="302"/>
      <c r="E12" s="303"/>
      <c r="F12" s="304"/>
      <c r="G12" s="302"/>
      <c r="H12" s="303"/>
      <c r="I12" s="304"/>
      <c r="J12" s="302"/>
      <c r="K12" s="303"/>
      <c r="L12" s="304"/>
      <c r="M12" s="302"/>
      <c r="N12" s="303"/>
      <c r="O12" s="304"/>
      <c r="P12" s="302"/>
      <c r="Q12" s="303"/>
      <c r="R12" s="304"/>
      <c r="S12" s="302"/>
      <c r="T12" s="303"/>
      <c r="U12" s="304"/>
      <c r="V12" s="302"/>
      <c r="W12" s="303"/>
      <c r="X12" s="304"/>
      <c r="Y12" s="302"/>
      <c r="Z12" s="303"/>
      <c r="AA12" s="304"/>
      <c r="AB12" s="302"/>
      <c r="AC12" s="303"/>
      <c r="AD12" s="304"/>
      <c r="AE12" s="302"/>
      <c r="AF12" s="303"/>
      <c r="AG12" s="304"/>
      <c r="AH12" s="307"/>
      <c r="AI12" s="302">
        <f t="shared" si="5"/>
        <v>0</v>
      </c>
      <c r="AJ12" s="303">
        <f t="shared" si="6"/>
        <v>0</v>
      </c>
      <c r="AK12" s="304">
        <f t="shared" si="1"/>
        <v>0</v>
      </c>
      <c r="AL12" s="302">
        <f t="shared" si="2"/>
        <v>0</v>
      </c>
      <c r="AM12" s="303">
        <f t="shared" si="3"/>
        <v>0</v>
      </c>
      <c r="AN12" s="304">
        <f t="shared" si="7"/>
        <v>0</v>
      </c>
      <c r="AO12" s="308"/>
      <c r="AP12" s="265"/>
      <c r="AQ12" s="265"/>
      <c r="AR12" s="265"/>
      <c r="AS12" s="265"/>
      <c r="AT12" s="309"/>
      <c r="AU12" s="310">
        <f t="shared" si="8"/>
        <v>0</v>
      </c>
      <c r="AV12" s="311">
        <f t="shared" si="9"/>
        <v>0</v>
      </c>
      <c r="AW12" s="311">
        <f t="shared" si="10"/>
        <v>0</v>
      </c>
      <c r="AX12" s="311">
        <f t="shared" si="11"/>
        <v>0</v>
      </c>
      <c r="AY12" s="311">
        <f t="shared" si="12"/>
        <v>0</v>
      </c>
      <c r="AZ12" s="312">
        <f t="shared" si="13"/>
        <v>0</v>
      </c>
      <c r="BA12" s="313">
        <f t="shared" si="14"/>
        <v>0</v>
      </c>
      <c r="BB12" t="s">
        <v>174</v>
      </c>
    </row>
    <row r="13" spans="1:53" ht="12.75">
      <c r="A13" s="289" t="s">
        <v>175</v>
      </c>
      <c r="B13" s="266" t="s">
        <v>176</v>
      </c>
      <c r="C13" s="290"/>
      <c r="D13" s="302">
        <v>32000</v>
      </c>
      <c r="E13" s="303">
        <v>30000</v>
      </c>
      <c r="F13" s="304">
        <v>35000</v>
      </c>
      <c r="G13" s="302">
        <f>D13/0.5</f>
        <v>64000</v>
      </c>
      <c r="H13" s="303">
        <f>E13/0.5</f>
        <v>60000</v>
      </c>
      <c r="I13" s="304">
        <f>F13/0.5</f>
        <v>70000</v>
      </c>
      <c r="J13" s="302"/>
      <c r="K13" s="303"/>
      <c r="L13" s="304"/>
      <c r="M13" s="302"/>
      <c r="N13" s="303"/>
      <c r="O13" s="304"/>
      <c r="P13" s="302"/>
      <c r="Q13" s="303"/>
      <c r="R13" s="304"/>
      <c r="S13" s="302"/>
      <c r="T13" s="303"/>
      <c r="U13" s="304"/>
      <c r="V13" s="302"/>
      <c r="W13" s="303"/>
      <c r="X13" s="304"/>
      <c r="Y13" s="302"/>
      <c r="Z13" s="303"/>
      <c r="AA13" s="304"/>
      <c r="AB13" s="302"/>
      <c r="AC13" s="303"/>
      <c r="AD13" s="304"/>
      <c r="AE13" s="302"/>
      <c r="AF13" s="303"/>
      <c r="AG13" s="304"/>
      <c r="AH13" s="307"/>
      <c r="AI13" s="302">
        <f t="shared" si="5"/>
        <v>32000</v>
      </c>
      <c r="AJ13" s="303">
        <f t="shared" si="6"/>
        <v>30000</v>
      </c>
      <c r="AK13" s="304">
        <f t="shared" si="1"/>
        <v>35000</v>
      </c>
      <c r="AL13" s="302">
        <f t="shared" si="2"/>
        <v>64000</v>
      </c>
      <c r="AM13" s="303">
        <f t="shared" si="3"/>
        <v>60000</v>
      </c>
      <c r="AN13" s="304">
        <f t="shared" si="7"/>
        <v>70000</v>
      </c>
      <c r="AO13" s="308">
        <v>0.05</v>
      </c>
      <c r="AP13" s="265">
        <v>0.1</v>
      </c>
      <c r="AQ13" s="265">
        <v>0.2</v>
      </c>
      <c r="AR13" s="265">
        <v>0.5</v>
      </c>
      <c r="AS13" s="265">
        <v>0.1</v>
      </c>
      <c r="AT13" s="309">
        <v>0.05</v>
      </c>
      <c r="AU13" s="310">
        <f t="shared" si="8"/>
        <v>1600</v>
      </c>
      <c r="AV13" s="311">
        <f t="shared" si="9"/>
        <v>3200</v>
      </c>
      <c r="AW13" s="311">
        <f t="shared" si="10"/>
        <v>6400</v>
      </c>
      <c r="AX13" s="311">
        <f t="shared" si="11"/>
        <v>16000</v>
      </c>
      <c r="AY13" s="311">
        <f t="shared" si="12"/>
        <v>3200</v>
      </c>
      <c r="AZ13" s="312">
        <f t="shared" si="13"/>
        <v>1600</v>
      </c>
      <c r="BA13" s="313">
        <f t="shared" si="14"/>
        <v>32000</v>
      </c>
    </row>
    <row r="14" spans="1:53" ht="12.75">
      <c r="A14" s="289" t="s">
        <v>177</v>
      </c>
      <c r="B14" s="266" t="s">
        <v>178</v>
      </c>
      <c r="C14" s="290"/>
      <c r="D14" s="302"/>
      <c r="E14" s="303"/>
      <c r="F14" s="304"/>
      <c r="G14" s="302"/>
      <c r="H14" s="303"/>
      <c r="I14" s="304"/>
      <c r="J14" s="302"/>
      <c r="K14" s="303"/>
      <c r="L14" s="304"/>
      <c r="M14" s="302"/>
      <c r="N14" s="303"/>
      <c r="O14" s="304"/>
      <c r="P14" s="302"/>
      <c r="Q14" s="303"/>
      <c r="R14" s="304"/>
      <c r="S14" s="302"/>
      <c r="T14" s="303"/>
      <c r="U14" s="304"/>
      <c r="V14" s="302">
        <v>898</v>
      </c>
      <c r="W14" s="303">
        <v>898</v>
      </c>
      <c r="X14" s="304">
        <v>898</v>
      </c>
      <c r="Y14" s="302">
        <f>V14/0.5</f>
        <v>1796</v>
      </c>
      <c r="Z14" s="303">
        <f>W14/0.5</f>
        <v>1796</v>
      </c>
      <c r="AA14" s="304">
        <f>X14/0.5</f>
        <v>1796</v>
      </c>
      <c r="AB14" s="302">
        <v>239000</v>
      </c>
      <c r="AC14" s="303">
        <v>239000</v>
      </c>
      <c r="AD14" s="304">
        <v>239000</v>
      </c>
      <c r="AE14" s="302">
        <f>AB14/0.5</f>
        <v>478000</v>
      </c>
      <c r="AF14" s="303">
        <f>AC14/0.5</f>
        <v>478000</v>
      </c>
      <c r="AG14" s="304">
        <f>AD14/0.5</f>
        <v>478000</v>
      </c>
      <c r="AH14" s="307"/>
      <c r="AI14" s="302">
        <f t="shared" si="5"/>
        <v>239898</v>
      </c>
      <c r="AJ14" s="303">
        <f t="shared" si="6"/>
        <v>239898</v>
      </c>
      <c r="AK14" s="304">
        <f t="shared" si="1"/>
        <v>239898</v>
      </c>
      <c r="AL14" s="302">
        <f t="shared" si="2"/>
        <v>479796</v>
      </c>
      <c r="AM14" s="303">
        <f t="shared" si="3"/>
        <v>479796</v>
      </c>
      <c r="AN14" s="304">
        <f t="shared" si="7"/>
        <v>479796</v>
      </c>
      <c r="AO14" s="308">
        <v>0.12</v>
      </c>
      <c r="AP14" s="265">
        <v>0.66</v>
      </c>
      <c r="AQ14" s="265">
        <v>0</v>
      </c>
      <c r="AR14" s="265">
        <v>0.08</v>
      </c>
      <c r="AS14" s="265">
        <v>0.02</v>
      </c>
      <c r="AT14" s="309">
        <v>0.12</v>
      </c>
      <c r="AU14" s="310">
        <f t="shared" si="8"/>
        <v>28787.76</v>
      </c>
      <c r="AV14" s="311">
        <f t="shared" si="9"/>
        <v>158332.68</v>
      </c>
      <c r="AW14" s="311">
        <f t="shared" si="10"/>
        <v>0</v>
      </c>
      <c r="AX14" s="311">
        <f t="shared" si="11"/>
        <v>19191.84</v>
      </c>
      <c r="AY14" s="311">
        <f t="shared" si="12"/>
        <v>4797.96</v>
      </c>
      <c r="AZ14" s="312">
        <f t="shared" si="13"/>
        <v>28787.76</v>
      </c>
      <c r="BA14" s="313">
        <f t="shared" si="14"/>
        <v>239898</v>
      </c>
    </row>
    <row r="15" spans="1:53" ht="12.75">
      <c r="A15" s="289" t="s">
        <v>179</v>
      </c>
      <c r="B15" s="266" t="s">
        <v>180</v>
      </c>
      <c r="C15" s="290"/>
      <c r="D15" s="302"/>
      <c r="E15" s="303"/>
      <c r="F15" s="304"/>
      <c r="G15" s="302"/>
      <c r="H15" s="303"/>
      <c r="I15" s="304"/>
      <c r="J15" s="302"/>
      <c r="K15" s="303"/>
      <c r="L15" s="304"/>
      <c r="M15" s="302"/>
      <c r="N15" s="303"/>
      <c r="O15" s="304"/>
      <c r="P15" s="302"/>
      <c r="Q15" s="303"/>
      <c r="R15" s="304"/>
      <c r="S15" s="302"/>
      <c r="T15" s="303"/>
      <c r="U15" s="304"/>
      <c r="V15" s="302"/>
      <c r="W15" s="303"/>
      <c r="X15" s="304"/>
      <c r="Y15" s="302"/>
      <c r="Z15" s="303"/>
      <c r="AA15" s="304"/>
      <c r="AB15" s="302"/>
      <c r="AC15" s="303"/>
      <c r="AD15" s="304"/>
      <c r="AE15" s="302"/>
      <c r="AF15" s="303"/>
      <c r="AG15" s="304"/>
      <c r="AH15" s="307"/>
      <c r="AI15" s="302">
        <f t="shared" si="5"/>
        <v>0</v>
      </c>
      <c r="AJ15" s="303">
        <f t="shared" si="6"/>
        <v>0</v>
      </c>
      <c r="AK15" s="304">
        <f t="shared" si="1"/>
        <v>0</v>
      </c>
      <c r="AL15" s="302">
        <f t="shared" si="2"/>
        <v>0</v>
      </c>
      <c r="AM15" s="303">
        <f t="shared" si="3"/>
        <v>0</v>
      </c>
      <c r="AN15" s="304">
        <f t="shared" si="7"/>
        <v>0</v>
      </c>
      <c r="AO15" s="308"/>
      <c r="AP15" s="265"/>
      <c r="AQ15" s="265"/>
      <c r="AR15" s="265"/>
      <c r="AS15" s="265"/>
      <c r="AT15" s="309"/>
      <c r="AU15" s="310">
        <f t="shared" si="8"/>
        <v>0</v>
      </c>
      <c r="AV15" s="311">
        <f t="shared" si="9"/>
        <v>0</v>
      </c>
      <c r="AW15" s="311">
        <f t="shared" si="10"/>
        <v>0</v>
      </c>
      <c r="AX15" s="311">
        <f t="shared" si="11"/>
        <v>0</v>
      </c>
      <c r="AY15" s="311">
        <f t="shared" si="12"/>
        <v>0</v>
      </c>
      <c r="AZ15" s="312">
        <f t="shared" si="13"/>
        <v>0</v>
      </c>
      <c r="BA15" s="313">
        <f t="shared" si="14"/>
        <v>0</v>
      </c>
    </row>
    <row r="16" spans="1:53" ht="12.75">
      <c r="A16" s="289" t="s">
        <v>181</v>
      </c>
      <c r="B16" s="266" t="s">
        <v>182</v>
      </c>
      <c r="C16" s="290"/>
      <c r="D16" s="302">
        <v>495000</v>
      </c>
      <c r="E16" s="303">
        <v>495000</v>
      </c>
      <c r="F16" s="304">
        <v>495000</v>
      </c>
      <c r="G16" s="302">
        <f aca="true" t="shared" si="15" ref="G16:I19">D16/0.5</f>
        <v>990000</v>
      </c>
      <c r="H16" s="303">
        <f t="shared" si="15"/>
        <v>990000</v>
      </c>
      <c r="I16" s="304">
        <f t="shared" si="15"/>
        <v>990000</v>
      </c>
      <c r="J16" s="302">
        <v>705000</v>
      </c>
      <c r="K16" s="303">
        <v>705000</v>
      </c>
      <c r="L16" s="304">
        <v>705000</v>
      </c>
      <c r="M16" s="302">
        <f>J16/0.5</f>
        <v>1410000</v>
      </c>
      <c r="N16" s="303">
        <f>K16/0.5</f>
        <v>1410000</v>
      </c>
      <c r="O16" s="304">
        <f>L16/0.5</f>
        <v>1410000</v>
      </c>
      <c r="P16" s="302">
        <v>50000</v>
      </c>
      <c r="Q16" s="303">
        <v>50000</v>
      </c>
      <c r="R16" s="304">
        <v>50000</v>
      </c>
      <c r="S16" s="302">
        <f>P16/0.5</f>
        <v>100000</v>
      </c>
      <c r="T16" s="303">
        <f>Q16/0.5</f>
        <v>100000</v>
      </c>
      <c r="U16" s="304">
        <f>R16/0.5</f>
        <v>100000</v>
      </c>
      <c r="V16" s="302"/>
      <c r="W16" s="303"/>
      <c r="X16" s="304"/>
      <c r="Y16" s="302"/>
      <c r="Z16" s="303"/>
      <c r="AA16" s="304"/>
      <c r="AB16" s="302"/>
      <c r="AC16" s="303"/>
      <c r="AD16" s="304"/>
      <c r="AE16" s="302"/>
      <c r="AF16" s="303"/>
      <c r="AG16" s="304"/>
      <c r="AH16" s="307"/>
      <c r="AI16" s="302">
        <f t="shared" si="5"/>
        <v>1250000</v>
      </c>
      <c r="AJ16" s="303">
        <f t="shared" si="6"/>
        <v>1250000</v>
      </c>
      <c r="AK16" s="304">
        <f t="shared" si="1"/>
        <v>1250000</v>
      </c>
      <c r="AL16" s="302">
        <f t="shared" si="2"/>
        <v>2500000</v>
      </c>
      <c r="AM16" s="303">
        <f t="shared" si="3"/>
        <v>2500000</v>
      </c>
      <c r="AN16" s="304">
        <f t="shared" si="7"/>
        <v>2500000</v>
      </c>
      <c r="AO16" s="308">
        <v>0</v>
      </c>
      <c r="AP16" s="314">
        <f>AP32</f>
        <v>0.60442</v>
      </c>
      <c r="AQ16" s="265">
        <f>AQ32</f>
        <v>0.3672</v>
      </c>
      <c r="AR16" s="265">
        <v>0</v>
      </c>
      <c r="AS16" s="265">
        <v>0</v>
      </c>
      <c r="AT16" s="309">
        <f>AR32</f>
        <v>0.02794</v>
      </c>
      <c r="AU16" s="310">
        <f t="shared" si="8"/>
        <v>0</v>
      </c>
      <c r="AV16" s="311">
        <f t="shared" si="9"/>
        <v>755525</v>
      </c>
      <c r="AW16" s="311">
        <f t="shared" si="10"/>
        <v>459000.00000000006</v>
      </c>
      <c r="AX16" s="311">
        <f t="shared" si="11"/>
        <v>0</v>
      </c>
      <c r="AY16" s="311">
        <f t="shared" si="12"/>
        <v>0</v>
      </c>
      <c r="AZ16" s="312">
        <f t="shared" si="13"/>
        <v>34925</v>
      </c>
      <c r="BA16" s="313">
        <f t="shared" si="14"/>
        <v>1249450</v>
      </c>
    </row>
    <row r="17" spans="1:53" ht="12.75">
      <c r="A17" s="289" t="s">
        <v>183</v>
      </c>
      <c r="B17" s="266" t="s">
        <v>184</v>
      </c>
      <c r="C17" s="290"/>
      <c r="D17" s="302">
        <v>29580</v>
      </c>
      <c r="E17" s="303">
        <v>25000</v>
      </c>
      <c r="F17" s="304">
        <v>35000</v>
      </c>
      <c r="G17" s="302">
        <f t="shared" si="15"/>
        <v>59160</v>
      </c>
      <c r="H17" s="303">
        <f t="shared" si="15"/>
        <v>50000</v>
      </c>
      <c r="I17" s="304">
        <f t="shared" si="15"/>
        <v>70000</v>
      </c>
      <c r="J17" s="302"/>
      <c r="K17" s="303"/>
      <c r="L17" s="304"/>
      <c r="M17" s="302"/>
      <c r="N17" s="303"/>
      <c r="O17" s="304"/>
      <c r="P17" s="302"/>
      <c r="Q17" s="303"/>
      <c r="R17" s="304"/>
      <c r="S17" s="302"/>
      <c r="T17" s="303"/>
      <c r="U17" s="304"/>
      <c r="V17" s="302">
        <v>1152</v>
      </c>
      <c r="W17" s="303">
        <v>1150</v>
      </c>
      <c r="X17" s="304">
        <v>1200</v>
      </c>
      <c r="Y17" s="302">
        <f>V17/0.5</f>
        <v>2304</v>
      </c>
      <c r="Z17" s="303">
        <f>W17/0.5</f>
        <v>2300</v>
      </c>
      <c r="AA17" s="304">
        <f>X17/0.5</f>
        <v>2400</v>
      </c>
      <c r="AB17" s="302">
        <v>215268</v>
      </c>
      <c r="AC17" s="303">
        <v>213850</v>
      </c>
      <c r="AD17" s="304">
        <v>313800</v>
      </c>
      <c r="AE17" s="302">
        <f>AB17/0.5</f>
        <v>430536</v>
      </c>
      <c r="AF17" s="303">
        <f>AC17/0.5</f>
        <v>427700</v>
      </c>
      <c r="AG17" s="304">
        <f>AD17/0.5</f>
        <v>627600</v>
      </c>
      <c r="AH17" s="307"/>
      <c r="AI17" s="302">
        <f t="shared" si="5"/>
        <v>246000</v>
      </c>
      <c r="AJ17" s="303">
        <f t="shared" si="6"/>
        <v>240000</v>
      </c>
      <c r="AK17" s="304">
        <f t="shared" si="1"/>
        <v>350000</v>
      </c>
      <c r="AL17" s="302">
        <f t="shared" si="2"/>
        <v>492000</v>
      </c>
      <c r="AM17" s="303">
        <f t="shared" si="3"/>
        <v>480000</v>
      </c>
      <c r="AN17" s="304">
        <f t="shared" si="7"/>
        <v>700000</v>
      </c>
      <c r="AO17" s="308">
        <v>0</v>
      </c>
      <c r="AP17" s="265">
        <v>0.05</v>
      </c>
      <c r="AQ17" s="265">
        <v>0.7</v>
      </c>
      <c r="AR17" s="265">
        <v>0.02</v>
      </c>
      <c r="AS17" s="265">
        <v>0.07</v>
      </c>
      <c r="AT17" s="309">
        <v>0.17</v>
      </c>
      <c r="AU17" s="310">
        <f t="shared" si="8"/>
        <v>0</v>
      </c>
      <c r="AV17" s="311">
        <f t="shared" si="9"/>
        <v>12300</v>
      </c>
      <c r="AW17" s="311">
        <f t="shared" si="10"/>
        <v>172200</v>
      </c>
      <c r="AX17" s="311">
        <f t="shared" si="11"/>
        <v>4920</v>
      </c>
      <c r="AY17" s="311">
        <f t="shared" si="12"/>
        <v>17220</v>
      </c>
      <c r="AZ17" s="312">
        <f t="shared" si="13"/>
        <v>41820</v>
      </c>
      <c r="BA17" s="313">
        <f t="shared" si="14"/>
        <v>248460</v>
      </c>
    </row>
    <row r="18" spans="1:53" ht="12.75">
      <c r="A18" s="289" t="s">
        <v>185</v>
      </c>
      <c r="B18" s="266" t="s">
        <v>186</v>
      </c>
      <c r="C18" s="290"/>
      <c r="D18" s="302">
        <v>310000</v>
      </c>
      <c r="E18" s="303">
        <v>220000</v>
      </c>
      <c r="F18" s="304">
        <v>310000</v>
      </c>
      <c r="G18" s="302">
        <f t="shared" si="15"/>
        <v>620000</v>
      </c>
      <c r="H18" s="303">
        <f t="shared" si="15"/>
        <v>440000</v>
      </c>
      <c r="I18" s="304">
        <f t="shared" si="15"/>
        <v>620000</v>
      </c>
      <c r="J18" s="302"/>
      <c r="K18" s="303"/>
      <c r="L18" s="304"/>
      <c r="M18" s="302"/>
      <c r="N18" s="303"/>
      <c r="O18" s="304"/>
      <c r="P18" s="302"/>
      <c r="Q18" s="303"/>
      <c r="R18" s="304"/>
      <c r="S18" s="302"/>
      <c r="T18" s="303"/>
      <c r="U18" s="304"/>
      <c r="V18" s="302"/>
      <c r="W18" s="303"/>
      <c r="X18" s="304"/>
      <c r="Y18" s="302"/>
      <c r="Z18" s="303"/>
      <c r="AA18" s="304"/>
      <c r="AB18" s="302"/>
      <c r="AC18" s="303"/>
      <c r="AD18" s="304"/>
      <c r="AE18" s="302"/>
      <c r="AF18" s="303"/>
      <c r="AG18" s="304"/>
      <c r="AH18" s="307"/>
      <c r="AI18" s="302">
        <f t="shared" si="5"/>
        <v>310000</v>
      </c>
      <c r="AJ18" s="303">
        <f t="shared" si="6"/>
        <v>220000</v>
      </c>
      <c r="AK18" s="304">
        <f t="shared" si="1"/>
        <v>310000</v>
      </c>
      <c r="AL18" s="302">
        <f t="shared" si="2"/>
        <v>620000</v>
      </c>
      <c r="AM18" s="303">
        <f t="shared" si="3"/>
        <v>440000</v>
      </c>
      <c r="AN18" s="304">
        <f t="shared" si="7"/>
        <v>620000</v>
      </c>
      <c r="AO18" s="308">
        <v>0.11</v>
      </c>
      <c r="AP18" s="265">
        <v>0.03</v>
      </c>
      <c r="AQ18" s="265">
        <v>0.02</v>
      </c>
      <c r="AR18" s="265">
        <v>0.01</v>
      </c>
      <c r="AS18" s="265">
        <v>0</v>
      </c>
      <c r="AT18" s="309">
        <v>0.83</v>
      </c>
      <c r="AU18" s="310">
        <f t="shared" si="8"/>
        <v>34100</v>
      </c>
      <c r="AV18" s="311">
        <f t="shared" si="9"/>
        <v>9300</v>
      </c>
      <c r="AW18" s="311">
        <f t="shared" si="10"/>
        <v>6200</v>
      </c>
      <c r="AX18" s="311">
        <f t="shared" si="11"/>
        <v>3100</v>
      </c>
      <c r="AY18" s="311">
        <f t="shared" si="12"/>
        <v>0</v>
      </c>
      <c r="AZ18" s="312">
        <f t="shared" si="13"/>
        <v>257300</v>
      </c>
      <c r="BA18" s="313">
        <f t="shared" si="14"/>
        <v>310000</v>
      </c>
    </row>
    <row r="19" spans="1:53" ht="12.75">
      <c r="A19" s="289" t="s">
        <v>187</v>
      </c>
      <c r="B19" s="266" t="s">
        <v>188</v>
      </c>
      <c r="C19" s="290"/>
      <c r="D19" s="302">
        <v>223000</v>
      </c>
      <c r="E19" s="303">
        <v>190000</v>
      </c>
      <c r="F19" s="304">
        <v>223000</v>
      </c>
      <c r="G19" s="302">
        <f t="shared" si="15"/>
        <v>446000</v>
      </c>
      <c r="H19" s="303">
        <f t="shared" si="15"/>
        <v>380000</v>
      </c>
      <c r="I19" s="304">
        <f t="shared" si="15"/>
        <v>446000</v>
      </c>
      <c r="J19" s="302"/>
      <c r="K19" s="303"/>
      <c r="L19" s="304"/>
      <c r="M19" s="302"/>
      <c r="N19" s="303"/>
      <c r="O19" s="304"/>
      <c r="P19" s="302"/>
      <c r="Q19" s="303"/>
      <c r="R19" s="304"/>
      <c r="S19" s="302"/>
      <c r="T19" s="303"/>
      <c r="U19" s="304"/>
      <c r="V19" s="302">
        <v>13000</v>
      </c>
      <c r="W19" s="303">
        <v>7000</v>
      </c>
      <c r="X19" s="304">
        <v>15000</v>
      </c>
      <c r="Y19" s="302">
        <f>V19/0.5</f>
        <v>26000</v>
      </c>
      <c r="Z19" s="303">
        <f>W19/0.5</f>
        <v>14000</v>
      </c>
      <c r="AA19" s="304">
        <f>X19/0.5</f>
        <v>30000</v>
      </c>
      <c r="AB19" s="302"/>
      <c r="AC19" s="303"/>
      <c r="AD19" s="304"/>
      <c r="AE19" s="302"/>
      <c r="AF19" s="303"/>
      <c r="AG19" s="304"/>
      <c r="AH19" s="307"/>
      <c r="AI19" s="302">
        <f t="shared" si="5"/>
        <v>236000</v>
      </c>
      <c r="AJ19" s="303">
        <f t="shared" si="6"/>
        <v>197000</v>
      </c>
      <c r="AK19" s="304">
        <f t="shared" si="1"/>
        <v>238000</v>
      </c>
      <c r="AL19" s="302">
        <f t="shared" si="2"/>
        <v>472000</v>
      </c>
      <c r="AM19" s="303">
        <f t="shared" si="3"/>
        <v>394000</v>
      </c>
      <c r="AN19" s="304">
        <f t="shared" si="7"/>
        <v>476000</v>
      </c>
      <c r="AO19" s="308">
        <v>0</v>
      </c>
      <c r="AP19" s="265">
        <v>0.12</v>
      </c>
      <c r="AQ19" s="265">
        <v>0.01</v>
      </c>
      <c r="AR19" s="265">
        <v>0.02</v>
      </c>
      <c r="AS19" s="265">
        <v>0</v>
      </c>
      <c r="AT19" s="309">
        <v>0.85</v>
      </c>
      <c r="AU19" s="310">
        <f t="shared" si="8"/>
        <v>0</v>
      </c>
      <c r="AV19" s="311">
        <f t="shared" si="9"/>
        <v>28320</v>
      </c>
      <c r="AW19" s="311">
        <f t="shared" si="10"/>
        <v>2360</v>
      </c>
      <c r="AX19" s="311">
        <f t="shared" si="11"/>
        <v>4720</v>
      </c>
      <c r="AY19" s="311">
        <f t="shared" si="12"/>
        <v>0</v>
      </c>
      <c r="AZ19" s="312">
        <f t="shared" si="13"/>
        <v>200600</v>
      </c>
      <c r="BA19" s="313">
        <f t="shared" si="14"/>
        <v>236000</v>
      </c>
    </row>
    <row r="20" spans="1:54" ht="12.75">
      <c r="A20" s="289" t="s">
        <v>189</v>
      </c>
      <c r="B20" s="266" t="s">
        <v>190</v>
      </c>
      <c r="C20" s="290"/>
      <c r="D20" s="302"/>
      <c r="E20" s="303"/>
      <c r="F20" s="304"/>
      <c r="G20" s="302"/>
      <c r="H20" s="303"/>
      <c r="I20" s="304"/>
      <c r="J20" s="302"/>
      <c r="K20" s="303"/>
      <c r="L20" s="304"/>
      <c r="M20" s="302"/>
      <c r="N20" s="303"/>
      <c r="O20" s="304"/>
      <c r="P20" s="302"/>
      <c r="Q20" s="303"/>
      <c r="R20" s="304"/>
      <c r="S20" s="302"/>
      <c r="T20" s="303"/>
      <c r="U20" s="304"/>
      <c r="V20" s="302"/>
      <c r="W20" s="303"/>
      <c r="X20" s="304"/>
      <c r="Y20" s="302"/>
      <c r="Z20" s="303"/>
      <c r="AA20" s="304"/>
      <c r="AB20" s="302"/>
      <c r="AC20" s="303"/>
      <c r="AD20" s="304"/>
      <c r="AE20" s="302"/>
      <c r="AF20" s="303"/>
      <c r="AG20" s="304"/>
      <c r="AH20" s="307"/>
      <c r="AI20" s="302">
        <f t="shared" si="5"/>
        <v>0</v>
      </c>
      <c r="AJ20" s="303">
        <f t="shared" si="6"/>
        <v>0</v>
      </c>
      <c r="AK20" s="304">
        <f t="shared" si="6"/>
        <v>0</v>
      </c>
      <c r="AL20" s="302">
        <f t="shared" si="2"/>
        <v>0</v>
      </c>
      <c r="AM20" s="303">
        <f t="shared" si="3"/>
        <v>0</v>
      </c>
      <c r="AN20" s="304">
        <f t="shared" si="7"/>
        <v>0</v>
      </c>
      <c r="AO20" s="308"/>
      <c r="AP20" s="265"/>
      <c r="AQ20" s="265"/>
      <c r="AR20" s="265"/>
      <c r="AS20" s="265"/>
      <c r="AT20" s="309"/>
      <c r="AU20" s="310">
        <f t="shared" si="8"/>
        <v>0</v>
      </c>
      <c r="AV20" s="311">
        <f t="shared" si="9"/>
        <v>0</v>
      </c>
      <c r="AW20" s="311">
        <f t="shared" si="10"/>
        <v>0</v>
      </c>
      <c r="AX20" s="311">
        <f t="shared" si="11"/>
        <v>0</v>
      </c>
      <c r="AY20" s="311">
        <f t="shared" si="12"/>
        <v>0</v>
      </c>
      <c r="AZ20" s="312">
        <f t="shared" si="13"/>
        <v>0</v>
      </c>
      <c r="BA20" s="313">
        <f t="shared" si="14"/>
        <v>0</v>
      </c>
      <c r="BB20" t="s">
        <v>174</v>
      </c>
    </row>
    <row r="21" spans="1:53" ht="12.75">
      <c r="A21" s="289" t="s">
        <v>191</v>
      </c>
      <c r="B21" s="266" t="s">
        <v>192</v>
      </c>
      <c r="C21" s="290"/>
      <c r="D21" s="302">
        <v>550000</v>
      </c>
      <c r="E21" s="303">
        <v>550000</v>
      </c>
      <c r="F21" s="304">
        <v>550000</v>
      </c>
      <c r="G21" s="302">
        <f>D21/0.5</f>
        <v>1100000</v>
      </c>
      <c r="H21" s="303">
        <f aca="true" t="shared" si="16" ref="H21:I23">E21/0.5</f>
        <v>1100000</v>
      </c>
      <c r="I21" s="304">
        <f t="shared" si="16"/>
        <v>1100000</v>
      </c>
      <c r="J21" s="302"/>
      <c r="K21" s="303"/>
      <c r="L21" s="304"/>
      <c r="M21" s="302"/>
      <c r="N21" s="303"/>
      <c r="O21" s="304"/>
      <c r="P21" s="302"/>
      <c r="Q21" s="303"/>
      <c r="R21" s="304"/>
      <c r="S21" s="302"/>
      <c r="T21" s="303"/>
      <c r="U21" s="304"/>
      <c r="V21" s="302"/>
      <c r="W21" s="303"/>
      <c r="X21" s="304"/>
      <c r="Y21" s="302"/>
      <c r="Z21" s="303"/>
      <c r="AA21" s="304"/>
      <c r="AB21" s="302">
        <v>3045052</v>
      </c>
      <c r="AC21" s="303">
        <v>3045052</v>
      </c>
      <c r="AD21" s="304">
        <v>3045052</v>
      </c>
      <c r="AE21" s="302">
        <f>AB21/0.5</f>
        <v>6090104</v>
      </c>
      <c r="AF21" s="303">
        <f>AC21/0.5</f>
        <v>6090104</v>
      </c>
      <c r="AG21" s="304">
        <f>AD21/0.5</f>
        <v>6090104</v>
      </c>
      <c r="AH21" s="307"/>
      <c r="AI21" s="302">
        <f t="shared" si="5"/>
        <v>3595052</v>
      </c>
      <c r="AJ21" s="303">
        <f t="shared" si="6"/>
        <v>3595052</v>
      </c>
      <c r="AK21" s="304">
        <f t="shared" si="6"/>
        <v>3595052</v>
      </c>
      <c r="AL21" s="302">
        <f t="shared" si="2"/>
        <v>7190104</v>
      </c>
      <c r="AM21" s="303">
        <f t="shared" si="3"/>
        <v>7190104</v>
      </c>
      <c r="AN21" s="304">
        <f t="shared" si="7"/>
        <v>7190104</v>
      </c>
      <c r="AO21" s="308">
        <v>0.05</v>
      </c>
      <c r="AP21" s="265">
        <v>0.85</v>
      </c>
      <c r="AQ21" s="265">
        <v>0.1</v>
      </c>
      <c r="AR21" s="265">
        <v>0</v>
      </c>
      <c r="AS21" s="265">
        <v>0</v>
      </c>
      <c r="AT21" s="309">
        <v>0</v>
      </c>
      <c r="AU21" s="310">
        <f t="shared" si="8"/>
        <v>179752.6</v>
      </c>
      <c r="AV21" s="311">
        <f t="shared" si="9"/>
        <v>3055794.1999999997</v>
      </c>
      <c r="AW21" s="311">
        <f t="shared" si="10"/>
        <v>359505.2</v>
      </c>
      <c r="AX21" s="311">
        <f t="shared" si="11"/>
        <v>0</v>
      </c>
      <c r="AY21" s="311">
        <f t="shared" si="12"/>
        <v>0</v>
      </c>
      <c r="AZ21" s="312">
        <f t="shared" si="13"/>
        <v>0</v>
      </c>
      <c r="BA21" s="313">
        <f t="shared" si="14"/>
        <v>3595052</v>
      </c>
    </row>
    <row r="22" spans="1:53" ht="12.75">
      <c r="A22" s="289" t="s">
        <v>193</v>
      </c>
      <c r="B22" s="266" t="s">
        <v>194</v>
      </c>
      <c r="C22" s="290"/>
      <c r="D22" s="302">
        <v>50000</v>
      </c>
      <c r="E22" s="303">
        <v>40000</v>
      </c>
      <c r="F22" s="304">
        <v>60000</v>
      </c>
      <c r="G22" s="302">
        <f>D22/0.5</f>
        <v>100000</v>
      </c>
      <c r="H22" s="303">
        <f t="shared" si="16"/>
        <v>80000</v>
      </c>
      <c r="I22" s="304">
        <f t="shared" si="16"/>
        <v>120000</v>
      </c>
      <c r="J22" s="302">
        <v>50000</v>
      </c>
      <c r="K22" s="303">
        <v>40000</v>
      </c>
      <c r="L22" s="304">
        <v>60000</v>
      </c>
      <c r="M22" s="302">
        <f aca="true" t="shared" si="17" ref="M22:O23">J22/0.5</f>
        <v>100000</v>
      </c>
      <c r="N22" s="303">
        <f t="shared" si="17"/>
        <v>80000</v>
      </c>
      <c r="O22" s="304">
        <f t="shared" si="17"/>
        <v>120000</v>
      </c>
      <c r="P22" s="302">
        <v>7500</v>
      </c>
      <c r="Q22" s="303">
        <v>5000</v>
      </c>
      <c r="R22" s="304">
        <v>10000</v>
      </c>
      <c r="S22" s="302">
        <f>P22/0.5</f>
        <v>15000</v>
      </c>
      <c r="T22" s="303">
        <f>Q22/0.5</f>
        <v>10000</v>
      </c>
      <c r="U22" s="304">
        <f>R22/0.5</f>
        <v>20000</v>
      </c>
      <c r="V22" s="302"/>
      <c r="W22" s="303"/>
      <c r="X22" s="304"/>
      <c r="Y22" s="302"/>
      <c r="Z22" s="303"/>
      <c r="AA22" s="304"/>
      <c r="AB22" s="302"/>
      <c r="AC22" s="303"/>
      <c r="AD22" s="304"/>
      <c r="AE22" s="302"/>
      <c r="AF22" s="303"/>
      <c r="AG22" s="304"/>
      <c r="AH22" s="307"/>
      <c r="AI22" s="302">
        <f t="shared" si="5"/>
        <v>107500</v>
      </c>
      <c r="AJ22" s="303">
        <f t="shared" si="6"/>
        <v>85000</v>
      </c>
      <c r="AK22" s="304">
        <f t="shared" si="6"/>
        <v>130000</v>
      </c>
      <c r="AL22" s="302">
        <f t="shared" si="2"/>
        <v>215000</v>
      </c>
      <c r="AM22" s="303">
        <f t="shared" si="3"/>
        <v>170000</v>
      </c>
      <c r="AN22" s="304">
        <f t="shared" si="7"/>
        <v>260000</v>
      </c>
      <c r="AO22" s="308">
        <v>0.05</v>
      </c>
      <c r="AP22" s="265">
        <v>0.025</v>
      </c>
      <c r="AQ22" s="265">
        <v>0.67</v>
      </c>
      <c r="AR22" s="265">
        <v>0.23</v>
      </c>
      <c r="AS22" s="265">
        <v>0.025</v>
      </c>
      <c r="AT22" s="309">
        <v>0</v>
      </c>
      <c r="AU22" s="310">
        <f t="shared" si="8"/>
        <v>5375</v>
      </c>
      <c r="AV22" s="311">
        <f t="shared" si="9"/>
        <v>2687.5</v>
      </c>
      <c r="AW22" s="311">
        <f t="shared" si="10"/>
        <v>72025</v>
      </c>
      <c r="AX22" s="311">
        <f t="shared" si="11"/>
        <v>24725</v>
      </c>
      <c r="AY22" s="311">
        <f>$AI22*AS22</f>
        <v>2687.5</v>
      </c>
      <c r="AZ22" s="312">
        <f t="shared" si="13"/>
        <v>0</v>
      </c>
      <c r="BA22" s="313">
        <f t="shared" si="14"/>
        <v>107500</v>
      </c>
    </row>
    <row r="23" spans="1:53" ht="12.75">
      <c r="A23" s="289" t="s">
        <v>195</v>
      </c>
      <c r="B23" s="266" t="s">
        <v>196</v>
      </c>
      <c r="C23" s="290"/>
      <c r="D23" s="302">
        <v>550000</v>
      </c>
      <c r="E23" s="303">
        <v>500000</v>
      </c>
      <c r="F23" s="304">
        <v>600000</v>
      </c>
      <c r="G23" s="302">
        <f>D23/0.5</f>
        <v>1100000</v>
      </c>
      <c r="H23" s="303">
        <f t="shared" si="16"/>
        <v>1000000</v>
      </c>
      <c r="I23" s="304">
        <f t="shared" si="16"/>
        <v>1200000</v>
      </c>
      <c r="J23" s="302">
        <v>450000</v>
      </c>
      <c r="K23" s="303">
        <v>400000</v>
      </c>
      <c r="L23" s="304">
        <v>600000</v>
      </c>
      <c r="M23" s="302">
        <f t="shared" si="17"/>
        <v>900000</v>
      </c>
      <c r="N23" s="303">
        <f t="shared" si="17"/>
        <v>800000</v>
      </c>
      <c r="O23" s="304">
        <f t="shared" si="17"/>
        <v>1200000</v>
      </c>
      <c r="P23" s="302"/>
      <c r="Q23" s="303"/>
      <c r="R23" s="304"/>
      <c r="S23" s="302"/>
      <c r="T23" s="303"/>
      <c r="U23" s="304"/>
      <c r="V23" s="302"/>
      <c r="W23" s="303"/>
      <c r="X23" s="304"/>
      <c r="Y23" s="302"/>
      <c r="Z23" s="303"/>
      <c r="AA23" s="304"/>
      <c r="AB23" s="302">
        <v>100000</v>
      </c>
      <c r="AC23" s="303">
        <v>70000</v>
      </c>
      <c r="AD23" s="304">
        <v>115000</v>
      </c>
      <c r="AE23" s="302">
        <f>AB23/0.5</f>
        <v>200000</v>
      </c>
      <c r="AF23" s="303">
        <f aca="true" t="shared" si="18" ref="AF23:AG25">AC23/0.5</f>
        <v>140000</v>
      </c>
      <c r="AG23" s="304">
        <f t="shared" si="18"/>
        <v>230000</v>
      </c>
      <c r="AH23" s="307"/>
      <c r="AI23" s="302">
        <f t="shared" si="5"/>
        <v>1100000</v>
      </c>
      <c r="AJ23" s="303">
        <f t="shared" si="6"/>
        <v>970000</v>
      </c>
      <c r="AK23" s="304">
        <f t="shared" si="6"/>
        <v>1315000</v>
      </c>
      <c r="AL23" s="302">
        <f t="shared" si="2"/>
        <v>2200000</v>
      </c>
      <c r="AM23" s="303">
        <f t="shared" si="3"/>
        <v>1940000</v>
      </c>
      <c r="AN23" s="304">
        <f t="shared" si="7"/>
        <v>2630000</v>
      </c>
      <c r="AO23" s="308">
        <v>0</v>
      </c>
      <c r="AP23" s="265">
        <v>0.8</v>
      </c>
      <c r="AQ23" s="265">
        <v>0.05</v>
      </c>
      <c r="AR23" s="265">
        <v>0.09</v>
      </c>
      <c r="AS23" s="265">
        <v>0.05</v>
      </c>
      <c r="AT23" s="309">
        <v>0.01</v>
      </c>
      <c r="AU23" s="310">
        <f t="shared" si="8"/>
        <v>0</v>
      </c>
      <c r="AV23" s="311">
        <f t="shared" si="9"/>
        <v>880000</v>
      </c>
      <c r="AW23" s="311">
        <f t="shared" si="10"/>
        <v>55000</v>
      </c>
      <c r="AX23" s="311">
        <f t="shared" si="11"/>
        <v>99000</v>
      </c>
      <c r="AY23" s="311">
        <f t="shared" si="12"/>
        <v>55000</v>
      </c>
      <c r="AZ23" s="312">
        <f t="shared" si="13"/>
        <v>11000</v>
      </c>
      <c r="BA23" s="313">
        <f t="shared" si="14"/>
        <v>1100000</v>
      </c>
    </row>
    <row r="24" spans="1:53" ht="12.75">
      <c r="A24" s="289" t="s">
        <v>197</v>
      </c>
      <c r="B24" s="266" t="s">
        <v>198</v>
      </c>
      <c r="C24" s="290"/>
      <c r="D24" s="302"/>
      <c r="E24" s="303"/>
      <c r="F24" s="304"/>
      <c r="G24" s="302"/>
      <c r="H24" s="303"/>
      <c r="I24" s="304"/>
      <c r="J24" s="302"/>
      <c r="K24" s="303"/>
      <c r="L24" s="304"/>
      <c r="M24" s="302"/>
      <c r="N24" s="303"/>
      <c r="O24" s="304"/>
      <c r="P24" s="302"/>
      <c r="Q24" s="303"/>
      <c r="R24" s="304"/>
      <c r="S24" s="302"/>
      <c r="T24" s="303"/>
      <c r="U24" s="304"/>
      <c r="V24" s="302">
        <v>14000</v>
      </c>
      <c r="W24" s="303">
        <v>14000</v>
      </c>
      <c r="X24" s="304">
        <v>14000</v>
      </c>
      <c r="Y24" s="302">
        <f>V24/0.5</f>
        <v>28000</v>
      </c>
      <c r="Z24" s="303">
        <f>W24/0.5</f>
        <v>28000</v>
      </c>
      <c r="AA24" s="304">
        <f>X24/0.5</f>
        <v>28000</v>
      </c>
      <c r="AB24" s="302">
        <v>500000</v>
      </c>
      <c r="AC24" s="303">
        <v>500000</v>
      </c>
      <c r="AD24" s="304">
        <v>500000</v>
      </c>
      <c r="AE24" s="302">
        <f>AB24/0.5</f>
        <v>1000000</v>
      </c>
      <c r="AF24" s="303">
        <f t="shared" si="18"/>
        <v>1000000</v>
      </c>
      <c r="AG24" s="304">
        <f t="shared" si="18"/>
        <v>1000000</v>
      </c>
      <c r="AH24" s="315">
        <v>170000</v>
      </c>
      <c r="AI24" s="302">
        <f t="shared" si="5"/>
        <v>514000</v>
      </c>
      <c r="AJ24" s="303">
        <f t="shared" si="6"/>
        <v>514000</v>
      </c>
      <c r="AK24" s="304">
        <f t="shared" si="6"/>
        <v>514000</v>
      </c>
      <c r="AL24" s="302">
        <f t="shared" si="2"/>
        <v>1028000</v>
      </c>
      <c r="AM24" s="303">
        <f t="shared" si="3"/>
        <v>1028000</v>
      </c>
      <c r="AN24" s="304">
        <f t="shared" si="7"/>
        <v>1028000</v>
      </c>
      <c r="AO24" s="308">
        <v>0.025</v>
      </c>
      <c r="AP24" s="265">
        <v>0.025</v>
      </c>
      <c r="AQ24" s="265">
        <v>0.9</v>
      </c>
      <c r="AR24" s="265">
        <v>0.025</v>
      </c>
      <c r="AS24" s="265">
        <v>0.025</v>
      </c>
      <c r="AT24" s="309">
        <v>0</v>
      </c>
      <c r="AU24" s="310">
        <f t="shared" si="8"/>
        <v>12850</v>
      </c>
      <c r="AV24" s="311">
        <f t="shared" si="9"/>
        <v>12850</v>
      </c>
      <c r="AW24" s="311">
        <f t="shared" si="10"/>
        <v>462600</v>
      </c>
      <c r="AX24" s="311">
        <f t="shared" si="11"/>
        <v>12850</v>
      </c>
      <c r="AY24" s="311">
        <f t="shared" si="12"/>
        <v>12850</v>
      </c>
      <c r="AZ24" s="312">
        <f t="shared" si="13"/>
        <v>0</v>
      </c>
      <c r="BA24" s="313">
        <f t="shared" si="14"/>
        <v>514000</v>
      </c>
    </row>
    <row r="25" spans="1:53" ht="13.5" thickBot="1">
      <c r="A25" s="289" t="s">
        <v>199</v>
      </c>
      <c r="B25" s="266" t="s">
        <v>200</v>
      </c>
      <c r="C25" s="290"/>
      <c r="D25" s="316">
        <v>1400000</v>
      </c>
      <c r="E25" s="317">
        <v>1400000</v>
      </c>
      <c r="F25" s="318">
        <v>1400000</v>
      </c>
      <c r="G25" s="316">
        <f>D25/0.5</f>
        <v>2800000</v>
      </c>
      <c r="H25" s="317">
        <f>E25/0.5</f>
        <v>2800000</v>
      </c>
      <c r="I25" s="318">
        <f>F25/0.5</f>
        <v>2800000</v>
      </c>
      <c r="J25" s="316"/>
      <c r="K25" s="317"/>
      <c r="L25" s="318"/>
      <c r="M25" s="316"/>
      <c r="N25" s="317"/>
      <c r="O25" s="318"/>
      <c r="P25" s="316"/>
      <c r="Q25" s="317"/>
      <c r="R25" s="318"/>
      <c r="S25" s="316"/>
      <c r="T25" s="317"/>
      <c r="U25" s="318"/>
      <c r="V25" s="316"/>
      <c r="W25" s="317"/>
      <c r="X25" s="318"/>
      <c r="Y25" s="316"/>
      <c r="Z25" s="317"/>
      <c r="AA25" s="318"/>
      <c r="AB25" s="316">
        <v>4136000</v>
      </c>
      <c r="AC25" s="317">
        <v>4136000</v>
      </c>
      <c r="AD25" s="318">
        <v>4136000</v>
      </c>
      <c r="AE25" s="316">
        <f>AB25/0.5</f>
        <v>8272000</v>
      </c>
      <c r="AF25" s="317">
        <f t="shared" si="18"/>
        <v>8272000</v>
      </c>
      <c r="AG25" s="318">
        <f t="shared" si="18"/>
        <v>8272000</v>
      </c>
      <c r="AH25" s="319"/>
      <c r="AI25" s="316">
        <f t="shared" si="5"/>
        <v>5536000</v>
      </c>
      <c r="AJ25" s="317">
        <f t="shared" si="6"/>
        <v>5536000</v>
      </c>
      <c r="AK25" s="318">
        <f t="shared" si="6"/>
        <v>5536000</v>
      </c>
      <c r="AL25" s="316">
        <f t="shared" si="2"/>
        <v>11072000</v>
      </c>
      <c r="AM25" s="317">
        <f t="shared" si="3"/>
        <v>11072000</v>
      </c>
      <c r="AN25" s="318">
        <f t="shared" si="7"/>
        <v>11072000</v>
      </c>
      <c r="AO25" s="320">
        <v>0</v>
      </c>
      <c r="AP25" s="321">
        <v>0.16</v>
      </c>
      <c r="AQ25" s="321">
        <v>0.28</v>
      </c>
      <c r="AR25" s="321">
        <v>0.22</v>
      </c>
      <c r="AS25" s="321">
        <v>0.11</v>
      </c>
      <c r="AT25" s="322">
        <v>0.23</v>
      </c>
      <c r="AU25" s="323">
        <f t="shared" si="8"/>
        <v>0</v>
      </c>
      <c r="AV25" s="324">
        <f t="shared" si="9"/>
        <v>885760</v>
      </c>
      <c r="AW25" s="324">
        <f t="shared" si="10"/>
        <v>1550080.0000000002</v>
      </c>
      <c r="AX25" s="324">
        <f>$AI25*AR25</f>
        <v>1217920</v>
      </c>
      <c r="AY25" s="324">
        <f t="shared" si="12"/>
        <v>608960</v>
      </c>
      <c r="AZ25" s="325">
        <f t="shared" si="13"/>
        <v>1273280</v>
      </c>
      <c r="BA25" s="326">
        <f t="shared" si="14"/>
        <v>5536000</v>
      </c>
    </row>
    <row r="26" spans="1:53" s="347" customFormat="1" ht="14.25" thickBot="1" thickTop="1">
      <c r="A26" s="327" t="s">
        <v>149</v>
      </c>
      <c r="B26" s="327"/>
      <c r="C26" s="328"/>
      <c r="D26" s="329">
        <f aca="true" t="shared" si="19" ref="D26:AH26">SUM(D4:D25)</f>
        <v>3905830</v>
      </c>
      <c r="E26" s="330">
        <f t="shared" si="19"/>
        <v>3676250</v>
      </c>
      <c r="F26" s="331">
        <f t="shared" si="19"/>
        <v>3994250</v>
      </c>
      <c r="G26" s="332">
        <f t="shared" si="19"/>
        <v>7811660</v>
      </c>
      <c r="H26" s="332">
        <f t="shared" si="19"/>
        <v>7352500</v>
      </c>
      <c r="I26" s="333">
        <f t="shared" si="19"/>
        <v>7988500</v>
      </c>
      <c r="J26" s="334">
        <f t="shared" si="19"/>
        <v>1840000</v>
      </c>
      <c r="K26" s="335">
        <f t="shared" si="19"/>
        <v>1660000</v>
      </c>
      <c r="L26" s="331">
        <f t="shared" si="19"/>
        <v>2020000</v>
      </c>
      <c r="M26" s="331">
        <f t="shared" si="19"/>
        <v>3680000</v>
      </c>
      <c r="N26" s="331">
        <f t="shared" si="19"/>
        <v>3320000</v>
      </c>
      <c r="O26" s="331">
        <f t="shared" si="19"/>
        <v>4040000</v>
      </c>
      <c r="P26" s="331">
        <f t="shared" si="19"/>
        <v>104833.5</v>
      </c>
      <c r="Q26" s="331">
        <f t="shared" si="19"/>
        <v>91150</v>
      </c>
      <c r="R26" s="331">
        <f t="shared" si="19"/>
        <v>117800</v>
      </c>
      <c r="S26" s="331">
        <f t="shared" si="19"/>
        <v>209667</v>
      </c>
      <c r="T26" s="331">
        <f t="shared" si="19"/>
        <v>182300</v>
      </c>
      <c r="U26" s="331">
        <f t="shared" si="19"/>
        <v>235600</v>
      </c>
      <c r="V26" s="331">
        <f t="shared" si="19"/>
        <v>95300</v>
      </c>
      <c r="W26" s="331">
        <f t="shared" si="19"/>
        <v>84048</v>
      </c>
      <c r="X26" s="331">
        <f t="shared" si="19"/>
        <v>118098</v>
      </c>
      <c r="Y26" s="331">
        <f t="shared" si="19"/>
        <v>190600</v>
      </c>
      <c r="Z26" s="331">
        <f t="shared" si="19"/>
        <v>168096</v>
      </c>
      <c r="AA26" s="331">
        <f t="shared" si="19"/>
        <v>236196</v>
      </c>
      <c r="AB26" s="331">
        <f t="shared" si="19"/>
        <v>19657620</v>
      </c>
      <c r="AC26" s="331">
        <f t="shared" si="19"/>
        <v>19246202</v>
      </c>
      <c r="AD26" s="331">
        <f t="shared" si="19"/>
        <v>20551152</v>
      </c>
      <c r="AE26" s="331">
        <f t="shared" si="19"/>
        <v>39315240</v>
      </c>
      <c r="AF26" s="331">
        <f t="shared" si="19"/>
        <v>38492404</v>
      </c>
      <c r="AG26" s="331">
        <f t="shared" si="19"/>
        <v>41102304</v>
      </c>
      <c r="AH26" s="331">
        <f t="shared" si="19"/>
        <v>170000</v>
      </c>
      <c r="AI26" s="336">
        <f>D26+J26+P26+V26+AB26</f>
        <v>25603583.5</v>
      </c>
      <c r="AJ26" s="337">
        <f t="shared" si="6"/>
        <v>24757650</v>
      </c>
      <c r="AK26" s="338">
        <f t="shared" si="6"/>
        <v>26801300</v>
      </c>
      <c r="AL26" s="336">
        <f t="shared" si="2"/>
        <v>51207167</v>
      </c>
      <c r="AM26" s="337">
        <f t="shared" si="3"/>
        <v>49515300</v>
      </c>
      <c r="AN26" s="339">
        <f t="shared" si="7"/>
        <v>53602600</v>
      </c>
      <c r="AO26" s="340"/>
      <c r="AP26" s="341"/>
      <c r="AQ26" s="341"/>
      <c r="AR26" s="341"/>
      <c r="AS26" s="341"/>
      <c r="AT26" s="342"/>
      <c r="AU26" s="343">
        <f>SUM(AU4:AU25)</f>
        <v>901840.035</v>
      </c>
      <c r="AV26" s="344">
        <f aca="true" t="shared" si="20" ref="AV26:BA26">SUM(AV4:AV25)</f>
        <v>11097593.405</v>
      </c>
      <c r="AW26" s="344">
        <f t="shared" si="20"/>
        <v>8839156.65</v>
      </c>
      <c r="AX26" s="344">
        <f t="shared" si="20"/>
        <v>1583619.5150000001</v>
      </c>
      <c r="AY26" s="344">
        <f t="shared" si="20"/>
        <v>945736.13</v>
      </c>
      <c r="AZ26" s="345">
        <f t="shared" si="20"/>
        <v>2237547.765</v>
      </c>
      <c r="BA26" s="346">
        <f t="shared" si="20"/>
        <v>25605493.5</v>
      </c>
    </row>
    <row r="27" spans="1:53" ht="14.25" thickBot="1" thickTop="1">
      <c r="A27" s="348" t="s">
        <v>201</v>
      </c>
      <c r="B27" s="349" t="s">
        <v>202</v>
      </c>
      <c r="D27" s="350">
        <f>D26/('Country spez. data COST E31'!$E$26*1000000)</f>
        <v>0.016092248109923164</v>
      </c>
      <c r="E27" s="350">
        <f>E26/('Country spez. data COST E31'!$E$26*1000000)</f>
        <v>0.015146365078384115</v>
      </c>
      <c r="F27" s="350">
        <f>F26/('Country spez. data COST E31'!$E$26*1000000)</f>
        <v>0.0164565436829203</v>
      </c>
      <c r="G27" s="350">
        <f>G26/('Country spez. data COST E31'!$E$26*1000000)</f>
        <v>0.03218449621984633</v>
      </c>
      <c r="H27" s="350">
        <f>H26/('Country spez. data COST E31'!$E$26*1000000)</f>
        <v>0.03029273015676823</v>
      </c>
      <c r="I27" s="350">
        <f>I26/('Country spez. data COST E31'!$E$26*1000000)</f>
        <v>0.0329130873658406</v>
      </c>
      <c r="J27" s="350">
        <f>J26/('Country spez. data COST E31'!$E$26*1000000)</f>
        <v>0.007580907648888615</v>
      </c>
      <c r="K27" s="350">
        <f>K26/('Country spez. data COST E31'!$E$26*1000000)</f>
        <v>0.0068392971180190765</v>
      </c>
      <c r="L27" s="350">
        <f>L26/('Country spez. data COST E31'!$E$26*1000000)</f>
        <v>0.008322518179758154</v>
      </c>
      <c r="M27" s="350">
        <f>M26/('Country spez. data COST E31'!$E$26*1000000)</f>
        <v>0.01516181529777723</v>
      </c>
      <c r="N27" s="350">
        <f>N26/('Country spez. data COST E31'!$E$26*1000000)</f>
        <v>0.013678594236038153</v>
      </c>
      <c r="O27" s="350">
        <f>O26/('Country spez. data COST E31'!$E$26*1000000)</f>
        <v>0.016645036359516308</v>
      </c>
      <c r="P27" s="350">
        <f>P26/('Country spez. data COST E31'!$E$26*1000000)</f>
        <v>0.0004319201532661764</v>
      </c>
      <c r="Q27" s="350">
        <f>Q26/('Country spez. data COST E31'!$E$26*1000000)</f>
        <v>0.00037554333271532463</v>
      </c>
      <c r="R27" s="350">
        <f>R26/('Country spez. data COST E31'!$E$26*1000000)</f>
        <v>0.0004853428918690646</v>
      </c>
      <c r="S27" s="350">
        <f>S26/('Country spez. data COST E31'!$E$26*1000000)</f>
        <v>0.0008638403065323528</v>
      </c>
      <c r="T27" s="350">
        <f>T26/('Country spez. data COST E31'!$E$26*1000000)</f>
        <v>0.0007510866654306493</v>
      </c>
      <c r="U27" s="350">
        <f>U26/('Country spez. data COST E31'!$E$26*1000000)</f>
        <v>0.0009706857837381292</v>
      </c>
      <c r="V27" s="350">
        <f>V26/('Country spez. data COST E31'!$E$26*1000000)</f>
        <v>0.0003926415755103723</v>
      </c>
      <c r="W27" s="350">
        <f>W26/('Country spez. data COST E31'!$E$26*1000000)</f>
        <v>0.0003462826772140165</v>
      </c>
      <c r="X27" s="350">
        <f>X26/('Country spez. data COST E31'!$E$26*1000000)</f>
        <v>0.0004865706693035042</v>
      </c>
      <c r="Y27" s="350">
        <f>Y26/('Country spez. data COST E31'!$E$26*1000000)</f>
        <v>0.0007852831510207446</v>
      </c>
      <c r="Z27" s="350">
        <f>Z26/('Country spez. data COST E31'!$E$26*1000000)</f>
        <v>0.000692565354428033</v>
      </c>
      <c r="AA27" s="350">
        <f>AA26/('Country spez. data COST E31'!$E$26*1000000)</f>
        <v>0.0009731413386070084</v>
      </c>
      <c r="AB27" s="350">
        <f>AB26/('Country spez. data COST E31'!$E$26*1000000)</f>
        <v>0.08099054446573142</v>
      </c>
      <c r="AC27" s="350">
        <f>AC26/('Country spez. data COST E31'!$E$26*1000000)</f>
        <v>0.07929547823579096</v>
      </c>
      <c r="AD27" s="350">
        <f>AD26/('Country spez. data COST E31'!$E$26*1000000)</f>
        <v>0.08467194858166988</v>
      </c>
      <c r="AE27" s="350">
        <f>AE26/('Country spez. data COST E31'!$E$26*1000000)</f>
        <v>0.16198108893146285</v>
      </c>
      <c r="AF27" s="350">
        <f>AF26/('Country spez. data COST E31'!$E$26*1000000)</f>
        <v>0.15859095647158192</v>
      </c>
      <c r="AG27" s="350">
        <f>AG26/('Country spez. data COST E31'!$E$26*1000000)</f>
        <v>0.16934389716333975</v>
      </c>
      <c r="AH27" s="350">
        <f>AH26/('Country spez. data COST E31'!$E$26*1000000)</f>
        <v>0.0007004099458212307</v>
      </c>
      <c r="AI27" s="350">
        <f>AI26/('Country spez. data COST E31'!$E$26*1000000)</f>
        <v>0.10548826195331976</v>
      </c>
      <c r="AJ27" s="350">
        <f>AJ26/('Country spez. data COST E31'!$E$26*1000000)</f>
        <v>0.10200296644212349</v>
      </c>
      <c r="AK27" s="350">
        <f>AK26/('Country spez. data COST E31'!$E$26*1000000)</f>
        <v>0.1104229240055209</v>
      </c>
      <c r="AL27" s="350">
        <f>AL26/('Country spez. data COST E31'!$E$26*1000000)</f>
        <v>0.2109765239066395</v>
      </c>
      <c r="AM27" s="350">
        <f>AM26/('Country spez. data COST E31'!$E$26*1000000)</f>
        <v>0.20400593288424698</v>
      </c>
      <c r="AN27" s="350">
        <f>AN26/('Country spez. data COST E31'!$E$26*1000000)</f>
        <v>0.2208458480110418</v>
      </c>
      <c r="AU27" s="351">
        <f>AU26/('Country spez. data COST E31'!$E$26*1000000)</f>
        <v>0.0037156337061986285</v>
      </c>
      <c r="AV27" s="352">
        <f>AV26/('Country spez. data COST E31'!$E$26*1000000)</f>
        <v>0.0457227340914241</v>
      </c>
      <c r="AW27" s="352">
        <f>AW26/('Country spez. data COST E31'!$E$26*1000000)</f>
        <v>0.03641784253136395</v>
      </c>
      <c r="AX27" s="352">
        <f>AX26/('Country spez. data COST E31'!$E$26*1000000)</f>
        <v>0.006524605051191728</v>
      </c>
      <c r="AY27" s="352">
        <f>AY26/('Country spez. data COST E31'!$E$26*1000000)</f>
        <v>0.003896488185732238</v>
      </c>
      <c r="AZ27" s="352">
        <f>AZ26/('Country spez. data COST E31'!$E$26*1000000)</f>
        <v>0.00921882769915333</v>
      </c>
      <c r="BA27" s="353">
        <f>BA26/('Country spez. data COST E31'!$E$26*1000000)</f>
        <v>0.10549613126506398</v>
      </c>
    </row>
    <row r="28" spans="6:27" ht="13.5" thickTop="1">
      <c r="F28" s="354"/>
      <c r="G28" s="354"/>
      <c r="H28" s="354"/>
      <c r="I28" s="354"/>
      <c r="J28" s="354"/>
      <c r="K28" s="354"/>
      <c r="L28" s="354"/>
      <c r="M28" s="354"/>
      <c r="N28" s="354"/>
      <c r="O28" s="354"/>
      <c r="P28" s="354"/>
      <c r="Q28" s="354"/>
      <c r="R28" s="354"/>
      <c r="S28" s="354"/>
      <c r="T28" s="354"/>
      <c r="U28" s="354"/>
      <c r="V28" s="354"/>
      <c r="W28" s="354"/>
      <c r="X28" s="354"/>
      <c r="Y28" s="354"/>
      <c r="Z28" s="354"/>
      <c r="AA28" s="354"/>
    </row>
    <row r="29" spans="6:48" ht="12.75">
      <c r="F29" s="354"/>
      <c r="G29" s="354"/>
      <c r="H29" s="354"/>
      <c r="I29" s="354"/>
      <c r="J29" s="354"/>
      <c r="K29" s="354"/>
      <c r="L29" s="354"/>
      <c r="M29" s="354"/>
      <c r="N29" s="354"/>
      <c r="O29" s="354"/>
      <c r="P29" s="354"/>
      <c r="Q29" s="354"/>
      <c r="R29" s="354"/>
      <c r="S29" s="354"/>
      <c r="T29" s="354"/>
      <c r="U29" s="354"/>
      <c r="V29" s="354"/>
      <c r="W29" s="354"/>
      <c r="X29" s="354"/>
      <c r="Y29" s="354"/>
      <c r="Z29" s="354"/>
      <c r="AA29" s="354"/>
      <c r="AO29" t="s">
        <v>203</v>
      </c>
      <c r="AP29" t="s">
        <v>204</v>
      </c>
      <c r="AQ29" t="s">
        <v>205</v>
      </c>
      <c r="AR29" t="s">
        <v>206</v>
      </c>
      <c r="AS29" t="s">
        <v>204</v>
      </c>
      <c r="AT29" t="s">
        <v>205</v>
      </c>
      <c r="AU29" t="s">
        <v>206</v>
      </c>
      <c r="AV29" t="s">
        <v>149</v>
      </c>
    </row>
    <row r="30" spans="6:48" ht="12.75">
      <c r="F30" s="354"/>
      <c r="G30" s="354"/>
      <c r="H30" s="354"/>
      <c r="I30" s="354"/>
      <c r="J30" s="354"/>
      <c r="K30" s="354"/>
      <c r="L30" s="354"/>
      <c r="M30" s="354"/>
      <c r="N30" s="354"/>
      <c r="O30" s="354"/>
      <c r="P30" s="354"/>
      <c r="Q30" s="354"/>
      <c r="R30" s="354"/>
      <c r="S30" s="354"/>
      <c r="T30" s="354"/>
      <c r="U30" s="354"/>
      <c r="V30" s="354"/>
      <c r="W30" s="354"/>
      <c r="X30" s="354"/>
      <c r="Y30" s="354"/>
      <c r="Z30" s="354"/>
      <c r="AA30" s="354"/>
      <c r="AN30" t="s">
        <v>207</v>
      </c>
      <c r="AO30">
        <v>275000</v>
      </c>
      <c r="AP30">
        <v>0.691</v>
      </c>
      <c r="AQ30">
        <v>0.18</v>
      </c>
      <c r="AR30">
        <v>0.127</v>
      </c>
      <c r="AS30">
        <f>$AO30*AP30</f>
        <v>190025</v>
      </c>
      <c r="AT30">
        <f aca="true" t="shared" si="21" ref="AT30:AU32">$AO30*AQ30</f>
        <v>49500</v>
      </c>
      <c r="AU30">
        <f t="shared" si="21"/>
        <v>34925</v>
      </c>
      <c r="AV30">
        <f>SUM(AS30:AU30)</f>
        <v>274450</v>
      </c>
    </row>
    <row r="31" spans="6:48" ht="12.75">
      <c r="F31" s="354"/>
      <c r="G31" s="354"/>
      <c r="H31" s="354"/>
      <c r="I31" s="354"/>
      <c r="J31" s="354"/>
      <c r="K31" s="354"/>
      <c r="L31" s="354"/>
      <c r="M31" s="354"/>
      <c r="N31" s="354"/>
      <c r="O31" s="354"/>
      <c r="P31" s="354"/>
      <c r="Q31" s="354"/>
      <c r="R31" s="354"/>
      <c r="S31" s="354"/>
      <c r="T31" s="354"/>
      <c r="U31" s="354"/>
      <c r="V31" s="354"/>
      <c r="W31" s="354"/>
      <c r="X31" s="354"/>
      <c r="Y31" s="354"/>
      <c r="Z31" s="354"/>
      <c r="AA31" s="354"/>
      <c r="AN31" t="s">
        <v>208</v>
      </c>
      <c r="AO31">
        <v>975000</v>
      </c>
      <c r="AP31">
        <v>0.58</v>
      </c>
      <c r="AQ31">
        <v>0.42</v>
      </c>
      <c r="AR31">
        <v>0</v>
      </c>
      <c r="AS31">
        <f>$AO31*AP31</f>
        <v>565500</v>
      </c>
      <c r="AT31">
        <f t="shared" si="21"/>
        <v>409500</v>
      </c>
      <c r="AU31">
        <f t="shared" si="21"/>
        <v>0</v>
      </c>
      <c r="AV31">
        <f>SUM(AS31:AU31)</f>
        <v>975000</v>
      </c>
    </row>
    <row r="32" spans="6:48" ht="12.75">
      <c r="F32" s="354"/>
      <c r="G32" s="354"/>
      <c r="H32" s="354"/>
      <c r="I32" s="354"/>
      <c r="J32" s="354"/>
      <c r="K32" s="354"/>
      <c r="L32" s="354"/>
      <c r="M32" s="354"/>
      <c r="N32" s="354"/>
      <c r="O32" s="354"/>
      <c r="P32" s="354"/>
      <c r="Q32" s="354"/>
      <c r="R32" s="354"/>
      <c r="S32" s="354"/>
      <c r="T32" s="354"/>
      <c r="U32" s="354"/>
      <c r="V32" s="354"/>
      <c r="W32" s="354"/>
      <c r="X32" s="354"/>
      <c r="Y32" s="354"/>
      <c r="Z32" s="354"/>
      <c r="AA32" s="354"/>
      <c r="AO32">
        <f>SUM(AO30:AO31)</f>
        <v>1250000</v>
      </c>
      <c r="AP32">
        <f>(AS30+AS31)/AO32</f>
        <v>0.60442</v>
      </c>
      <c r="AQ32">
        <f>(AT30+AT31)/AO32</f>
        <v>0.3672</v>
      </c>
      <c r="AR32">
        <f>AU30/AO32</f>
        <v>0.02794</v>
      </c>
      <c r="AS32">
        <f>$AO32*AP32</f>
        <v>755525</v>
      </c>
      <c r="AT32">
        <f t="shared" si="21"/>
        <v>459000.00000000006</v>
      </c>
      <c r="AU32">
        <f t="shared" si="21"/>
        <v>34925</v>
      </c>
      <c r="AV32">
        <f>SUM(AS32:AU32)</f>
        <v>1249450</v>
      </c>
    </row>
    <row r="33" spans="6:27" ht="12.75">
      <c r="F33" s="354"/>
      <c r="G33" s="354"/>
      <c r="H33" s="354"/>
      <c r="I33" s="354"/>
      <c r="J33" s="354"/>
      <c r="K33" s="354"/>
      <c r="L33" s="354"/>
      <c r="M33" s="354"/>
      <c r="N33" s="354"/>
      <c r="O33" s="354"/>
      <c r="P33" s="354"/>
      <c r="Q33" s="354"/>
      <c r="R33" s="354"/>
      <c r="S33" s="354"/>
      <c r="T33" s="354"/>
      <c r="U33" s="354"/>
      <c r="V33" s="354"/>
      <c r="W33" s="354"/>
      <c r="X33" s="354"/>
      <c r="Y33" s="354"/>
      <c r="Z33" s="354"/>
      <c r="AA33" s="354"/>
    </row>
    <row r="34" spans="6:27" ht="13.5" thickBot="1">
      <c r="F34" s="354"/>
      <c r="G34" s="354"/>
      <c r="H34" s="354"/>
      <c r="I34" s="354"/>
      <c r="J34" s="354"/>
      <c r="K34" s="354"/>
      <c r="L34" s="354"/>
      <c r="M34" s="354"/>
      <c r="N34" s="354"/>
      <c r="O34" s="354"/>
      <c r="P34" s="354"/>
      <c r="Q34" s="354"/>
      <c r="R34" s="354"/>
      <c r="S34" s="354"/>
      <c r="T34" s="354"/>
      <c r="U34" s="354"/>
      <c r="V34" s="354"/>
      <c r="W34" s="354"/>
      <c r="X34" s="354"/>
      <c r="Y34" s="354"/>
      <c r="Z34" s="354"/>
      <c r="AA34" s="354"/>
    </row>
    <row r="35" spans="1:60" ht="13.5" thickTop="1">
      <c r="A35" s="297" t="s">
        <v>128</v>
      </c>
      <c r="B35" s="355" t="s">
        <v>143</v>
      </c>
      <c r="C35" s="276" t="s">
        <v>144</v>
      </c>
      <c r="D35" s="411" t="s">
        <v>145</v>
      </c>
      <c r="E35" s="276" t="s">
        <v>146</v>
      </c>
      <c r="F35" s="276" t="s">
        <v>147</v>
      </c>
      <c r="G35" s="277" t="s">
        <v>148</v>
      </c>
      <c r="H35" s="278" t="s">
        <v>149</v>
      </c>
      <c r="I35" s="354"/>
      <c r="J35" s="354"/>
      <c r="K35" s="354"/>
      <c r="L35" s="354"/>
      <c r="M35" s="354"/>
      <c r="N35" s="354"/>
      <c r="O35" s="354"/>
      <c r="P35" s="354"/>
      <c r="Q35" s="354"/>
      <c r="R35" s="354"/>
      <c r="S35" s="354"/>
      <c r="T35" s="354"/>
      <c r="U35" s="354"/>
      <c r="V35" s="354"/>
      <c r="W35" s="354"/>
      <c r="X35" s="354"/>
      <c r="Y35" s="354"/>
      <c r="Z35" s="354"/>
      <c r="AA35" s="354"/>
      <c r="BB35" s="297" t="s">
        <v>128</v>
      </c>
      <c r="BC35" s="275" t="s">
        <v>143</v>
      </c>
      <c r="BD35" s="276" t="s">
        <v>144</v>
      </c>
      <c r="BE35" s="276" t="s">
        <v>209</v>
      </c>
      <c r="BF35" s="276" t="s">
        <v>146</v>
      </c>
      <c r="BG35" s="276" t="s">
        <v>147</v>
      </c>
      <c r="BH35" s="277" t="s">
        <v>210</v>
      </c>
    </row>
    <row r="36" spans="1:60" ht="13.5" thickBot="1">
      <c r="A36" s="319"/>
      <c r="B36" s="356" t="s">
        <v>155</v>
      </c>
      <c r="C36" s="280" t="s">
        <v>155</v>
      </c>
      <c r="D36" s="412" t="s">
        <v>155</v>
      </c>
      <c r="E36" s="280" t="s">
        <v>155</v>
      </c>
      <c r="F36" s="280" t="s">
        <v>155</v>
      </c>
      <c r="G36" s="287" t="s">
        <v>155</v>
      </c>
      <c r="H36" s="288" t="s">
        <v>155</v>
      </c>
      <c r="I36" s="354"/>
      <c r="J36" s="354"/>
      <c r="K36" s="354"/>
      <c r="L36" s="354"/>
      <c r="M36" s="354"/>
      <c r="N36" s="354"/>
      <c r="O36" s="354"/>
      <c r="P36" s="354"/>
      <c r="Q36" s="354"/>
      <c r="R36" s="354"/>
      <c r="S36" s="354"/>
      <c r="T36" s="354"/>
      <c r="U36" s="354"/>
      <c r="V36" s="354"/>
      <c r="W36" s="354"/>
      <c r="X36" s="354"/>
      <c r="Y36" s="354"/>
      <c r="Z36" s="354"/>
      <c r="AA36" s="354"/>
      <c r="BB36" s="307"/>
      <c r="BC36" s="357"/>
      <c r="BD36" s="358"/>
      <c r="BE36" s="359" t="s">
        <v>154</v>
      </c>
      <c r="BF36" s="358"/>
      <c r="BG36" s="358"/>
      <c r="BH36" s="360"/>
    </row>
    <row r="37" spans="1:60" ht="13.5" thickTop="1">
      <c r="A37" s="361" t="s">
        <v>156</v>
      </c>
      <c r="B37" s="362">
        <v>38750</v>
      </c>
      <c r="C37" s="299">
        <v>310000</v>
      </c>
      <c r="D37" s="413">
        <v>325500</v>
      </c>
      <c r="E37" s="299">
        <v>15500</v>
      </c>
      <c r="F37" s="299">
        <v>77500</v>
      </c>
      <c r="G37" s="300">
        <v>7750</v>
      </c>
      <c r="H37" s="301">
        <v>775000</v>
      </c>
      <c r="I37" s="354"/>
      <c r="J37" s="354"/>
      <c r="K37" s="354"/>
      <c r="L37" s="354"/>
      <c r="M37" s="354"/>
      <c r="N37" s="354"/>
      <c r="O37" s="354"/>
      <c r="P37" s="354"/>
      <c r="Q37" s="354"/>
      <c r="R37" s="354"/>
      <c r="S37" s="354"/>
      <c r="T37" s="354"/>
      <c r="U37" s="354"/>
      <c r="V37" s="354"/>
      <c r="W37" s="354"/>
      <c r="X37" s="354"/>
      <c r="Y37" s="354"/>
      <c r="Z37" s="354"/>
      <c r="AA37" s="354"/>
      <c r="BB37" s="363" t="s">
        <v>156</v>
      </c>
      <c r="BC37" s="364">
        <v>0.05</v>
      </c>
      <c r="BD37" s="365">
        <v>0.4</v>
      </c>
      <c r="BE37" s="365">
        <v>0.42</v>
      </c>
      <c r="BF37" s="365">
        <v>0.02</v>
      </c>
      <c r="BG37" s="365">
        <v>0.1</v>
      </c>
      <c r="BH37" s="366">
        <v>0.01</v>
      </c>
    </row>
    <row r="38" spans="1:60" ht="12.75">
      <c r="A38" s="363" t="s">
        <v>158</v>
      </c>
      <c r="B38" s="367">
        <v>0</v>
      </c>
      <c r="C38" s="311">
        <v>0</v>
      </c>
      <c r="D38" s="414">
        <v>0</v>
      </c>
      <c r="E38" s="311">
        <v>0</v>
      </c>
      <c r="F38" s="311">
        <v>0</v>
      </c>
      <c r="G38" s="312">
        <v>0</v>
      </c>
      <c r="H38" s="313">
        <v>0</v>
      </c>
      <c r="I38" s="354"/>
      <c r="J38" s="354"/>
      <c r="K38" s="354"/>
      <c r="L38" s="354"/>
      <c r="M38" s="354"/>
      <c r="N38" s="354"/>
      <c r="O38" s="354"/>
      <c r="P38" s="354"/>
      <c r="Q38" s="354"/>
      <c r="R38" s="354"/>
      <c r="S38" s="354"/>
      <c r="T38" s="354"/>
      <c r="U38" s="354"/>
      <c r="V38" s="354"/>
      <c r="W38" s="354"/>
      <c r="X38" s="354"/>
      <c r="Y38" s="354"/>
      <c r="Z38" s="354"/>
      <c r="AA38" s="354"/>
      <c r="BB38" s="363" t="s">
        <v>158</v>
      </c>
      <c r="BC38" s="364"/>
      <c r="BD38" s="365"/>
      <c r="BE38" s="365"/>
      <c r="BF38" s="365"/>
      <c r="BG38" s="365"/>
      <c r="BH38" s="366"/>
    </row>
    <row r="39" spans="1:60" ht="12.75">
      <c r="A39" s="363" t="s">
        <v>160</v>
      </c>
      <c r="B39" s="367">
        <v>1633</v>
      </c>
      <c r="C39" s="311">
        <v>40825</v>
      </c>
      <c r="D39" s="414">
        <v>57155</v>
      </c>
      <c r="E39" s="311">
        <v>1633</v>
      </c>
      <c r="F39" s="311">
        <v>0</v>
      </c>
      <c r="G39" s="312">
        <v>62054</v>
      </c>
      <c r="H39" s="313">
        <v>163300</v>
      </c>
      <c r="I39" s="354"/>
      <c r="J39" s="354"/>
      <c r="K39" s="354"/>
      <c r="L39" s="354"/>
      <c r="M39" s="354"/>
      <c r="N39" s="354"/>
      <c r="O39" s="354"/>
      <c r="P39" s="354"/>
      <c r="Q39" s="354"/>
      <c r="R39" s="354"/>
      <c r="S39" s="354"/>
      <c r="T39" s="354"/>
      <c r="U39" s="354"/>
      <c r="V39" s="354"/>
      <c r="W39" s="354"/>
      <c r="X39" s="354"/>
      <c r="Y39" s="354"/>
      <c r="Z39" s="354"/>
      <c r="AA39" s="354"/>
      <c r="BB39" s="363" t="s">
        <v>160</v>
      </c>
      <c r="BC39" s="364">
        <v>0.01</v>
      </c>
      <c r="BD39" s="365">
        <v>0.25</v>
      </c>
      <c r="BE39" s="365">
        <v>0.35</v>
      </c>
      <c r="BF39" s="365">
        <v>0.01</v>
      </c>
      <c r="BG39" s="365">
        <v>0</v>
      </c>
      <c r="BH39" s="366">
        <v>0.38</v>
      </c>
    </row>
    <row r="40" spans="1:60" ht="12.75">
      <c r="A40" s="363" t="s">
        <v>162</v>
      </c>
      <c r="B40" s="367">
        <v>43051.675</v>
      </c>
      <c r="C40" s="311">
        <v>129155.025</v>
      </c>
      <c r="D40" s="414">
        <v>602723.45</v>
      </c>
      <c r="E40" s="311">
        <v>43051.675</v>
      </c>
      <c r="F40" s="311">
        <v>17220.67</v>
      </c>
      <c r="G40" s="312">
        <v>25831.004999999997</v>
      </c>
      <c r="H40" s="313">
        <v>861033.5</v>
      </c>
      <c r="I40" s="354"/>
      <c r="J40" s="354"/>
      <c r="K40" s="354"/>
      <c r="L40" s="354"/>
      <c r="M40" s="354"/>
      <c r="N40" s="354"/>
      <c r="O40" s="354"/>
      <c r="P40" s="354"/>
      <c r="Q40" s="354"/>
      <c r="R40" s="354"/>
      <c r="S40" s="354"/>
      <c r="T40" s="354"/>
      <c r="U40" s="354"/>
      <c r="V40" s="354"/>
      <c r="W40" s="354"/>
      <c r="X40" s="354"/>
      <c r="Y40" s="354"/>
      <c r="Z40" s="354"/>
      <c r="AA40" s="354"/>
      <c r="BB40" s="363" t="s">
        <v>162</v>
      </c>
      <c r="BC40" s="364">
        <v>0.05</v>
      </c>
      <c r="BD40" s="365">
        <v>0.15</v>
      </c>
      <c r="BE40" s="365">
        <v>0.7</v>
      </c>
      <c r="BF40" s="365">
        <v>0.05</v>
      </c>
      <c r="BG40" s="365">
        <v>0.02</v>
      </c>
      <c r="BH40" s="366">
        <v>0.03</v>
      </c>
    </row>
    <row r="41" spans="1:60" ht="12.75">
      <c r="A41" s="363" t="s">
        <v>164</v>
      </c>
      <c r="B41" s="367">
        <v>0</v>
      </c>
      <c r="C41" s="311">
        <v>0</v>
      </c>
      <c r="D41" s="414">
        <v>0</v>
      </c>
      <c r="E41" s="311">
        <v>0</v>
      </c>
      <c r="F41" s="311">
        <v>0</v>
      </c>
      <c r="G41" s="312">
        <v>0</v>
      </c>
      <c r="H41" s="313">
        <v>0</v>
      </c>
      <c r="I41" s="354"/>
      <c r="J41" s="354"/>
      <c r="K41" s="354"/>
      <c r="L41" s="354"/>
      <c r="M41" s="354"/>
      <c r="N41" s="354"/>
      <c r="O41" s="354"/>
      <c r="P41" s="354"/>
      <c r="Q41" s="354"/>
      <c r="R41" s="354"/>
      <c r="S41" s="354"/>
      <c r="T41" s="354"/>
      <c r="U41" s="354"/>
      <c r="V41" s="354"/>
      <c r="W41" s="354"/>
      <c r="X41" s="354"/>
      <c r="Y41" s="354"/>
      <c r="Z41" s="354"/>
      <c r="AA41" s="354"/>
      <c r="BB41" s="363" t="s">
        <v>164</v>
      </c>
      <c r="BC41" s="364"/>
      <c r="BD41" s="365"/>
      <c r="BE41" s="365"/>
      <c r="BF41" s="365"/>
      <c r="BG41" s="365"/>
      <c r="BH41" s="366"/>
    </row>
    <row r="42" spans="1:60" ht="12.75">
      <c r="A42" s="363" t="s">
        <v>166</v>
      </c>
      <c r="B42" s="367">
        <v>0</v>
      </c>
      <c r="C42" s="311">
        <v>4403904</v>
      </c>
      <c r="D42" s="414">
        <v>4679148</v>
      </c>
      <c r="E42" s="311">
        <v>91748</v>
      </c>
      <c r="F42" s="311">
        <v>0</v>
      </c>
      <c r="G42" s="312">
        <v>0</v>
      </c>
      <c r="H42" s="313">
        <v>9174800</v>
      </c>
      <c r="I42" s="354"/>
      <c r="J42" s="354"/>
      <c r="K42" s="354"/>
      <c r="L42" s="354"/>
      <c r="M42" s="354"/>
      <c r="N42" s="354"/>
      <c r="O42" s="354"/>
      <c r="P42" s="354"/>
      <c r="Q42" s="354"/>
      <c r="R42" s="354"/>
      <c r="S42" s="354"/>
      <c r="T42" s="354"/>
      <c r="U42" s="354"/>
      <c r="V42" s="354"/>
      <c r="W42" s="354"/>
      <c r="X42" s="354"/>
      <c r="Y42" s="354"/>
      <c r="Z42" s="354"/>
      <c r="AA42" s="354"/>
      <c r="BB42" s="363" t="s">
        <v>166</v>
      </c>
      <c r="BC42" s="364">
        <v>0</v>
      </c>
      <c r="BD42" s="365">
        <v>0.48</v>
      </c>
      <c r="BE42" s="365">
        <v>0.51</v>
      </c>
      <c r="BF42" s="365">
        <v>0.01</v>
      </c>
      <c r="BG42" s="365">
        <v>0</v>
      </c>
      <c r="BH42" s="366">
        <v>0</v>
      </c>
    </row>
    <row r="43" spans="1:60" ht="12.75">
      <c r="A43" s="363" t="s">
        <v>168</v>
      </c>
      <c r="B43" s="367">
        <v>0</v>
      </c>
      <c r="C43" s="311">
        <v>0</v>
      </c>
      <c r="D43" s="414">
        <v>0</v>
      </c>
      <c r="E43" s="311">
        <v>0</v>
      </c>
      <c r="F43" s="311">
        <v>0</v>
      </c>
      <c r="G43" s="312">
        <v>0</v>
      </c>
      <c r="H43" s="313">
        <v>0</v>
      </c>
      <c r="I43" s="354"/>
      <c r="J43" s="354"/>
      <c r="K43" s="354"/>
      <c r="L43" s="354"/>
      <c r="M43" s="354"/>
      <c r="N43" s="354"/>
      <c r="O43" s="354"/>
      <c r="P43" s="354"/>
      <c r="Q43" s="354"/>
      <c r="R43" s="354"/>
      <c r="S43" s="354"/>
      <c r="T43" s="354"/>
      <c r="U43" s="354"/>
      <c r="V43" s="354"/>
      <c r="W43" s="354"/>
      <c r="X43" s="354"/>
      <c r="Y43" s="354"/>
      <c r="Z43" s="354"/>
      <c r="AA43" s="354"/>
      <c r="BB43" s="363" t="s">
        <v>168</v>
      </c>
      <c r="BC43" s="364"/>
      <c r="BD43" s="365"/>
      <c r="BE43" s="365"/>
      <c r="BF43" s="365"/>
      <c r="BG43" s="365"/>
      <c r="BH43" s="366"/>
    </row>
    <row r="44" spans="1:60" ht="12.75">
      <c r="A44" s="363" t="s">
        <v>170</v>
      </c>
      <c r="B44" s="367">
        <v>0</v>
      </c>
      <c r="C44" s="311">
        <v>0</v>
      </c>
      <c r="D44" s="414">
        <v>0</v>
      </c>
      <c r="E44" s="311">
        <v>0</v>
      </c>
      <c r="F44" s="311">
        <v>0</v>
      </c>
      <c r="G44" s="312">
        <v>0</v>
      </c>
      <c r="H44" s="313">
        <v>0</v>
      </c>
      <c r="I44" s="354"/>
      <c r="J44" s="354"/>
      <c r="K44" s="354"/>
      <c r="L44" s="354"/>
      <c r="M44" s="354"/>
      <c r="N44" s="354"/>
      <c r="O44" s="354"/>
      <c r="P44" s="354"/>
      <c r="Q44" s="354"/>
      <c r="R44" s="354"/>
      <c r="S44" s="354"/>
      <c r="T44" s="354"/>
      <c r="U44" s="354"/>
      <c r="V44" s="354"/>
      <c r="W44" s="354"/>
      <c r="X44" s="354"/>
      <c r="Y44" s="354"/>
      <c r="Z44" s="354"/>
      <c r="AA44" s="354"/>
      <c r="BB44" s="363" t="s">
        <v>170</v>
      </c>
      <c r="BC44" s="364"/>
      <c r="BD44" s="365"/>
      <c r="BE44" s="365"/>
      <c r="BF44" s="365"/>
      <c r="BG44" s="365"/>
      <c r="BH44" s="366"/>
    </row>
    <row r="45" spans="1:60" ht="12.75">
      <c r="A45" s="363" t="s">
        <v>172</v>
      </c>
      <c r="B45" s="367">
        <v>0</v>
      </c>
      <c r="C45" s="311">
        <v>0</v>
      </c>
      <c r="D45" s="414">
        <v>0</v>
      </c>
      <c r="E45" s="311">
        <v>0</v>
      </c>
      <c r="F45" s="311">
        <v>0</v>
      </c>
      <c r="G45" s="312">
        <v>0</v>
      </c>
      <c r="H45" s="313">
        <v>0</v>
      </c>
      <c r="I45" s="354"/>
      <c r="J45" s="354"/>
      <c r="K45" s="354"/>
      <c r="L45" s="354"/>
      <c r="M45" s="354"/>
      <c r="N45" s="354"/>
      <c r="O45" s="354"/>
      <c r="P45" s="354"/>
      <c r="Q45" s="354"/>
      <c r="R45" s="354"/>
      <c r="S45" s="354"/>
      <c r="T45" s="354"/>
      <c r="U45" s="354"/>
      <c r="V45" s="354"/>
      <c r="W45" s="354"/>
      <c r="X45" s="354"/>
      <c r="Y45" s="354"/>
      <c r="Z45" s="354"/>
      <c r="AA45" s="354"/>
      <c r="BB45" s="363" t="s">
        <v>172</v>
      </c>
      <c r="BC45" s="364"/>
      <c r="BD45" s="365"/>
      <c r="BE45" s="365"/>
      <c r="BF45" s="365"/>
      <c r="BG45" s="365"/>
      <c r="BH45" s="366"/>
    </row>
    <row r="46" spans="1:60" ht="12.75">
      <c r="A46" s="363" t="s">
        <v>175</v>
      </c>
      <c r="B46" s="367">
        <v>1600</v>
      </c>
      <c r="C46" s="311">
        <v>3200</v>
      </c>
      <c r="D46" s="414">
        <v>6400</v>
      </c>
      <c r="E46" s="311">
        <v>16000</v>
      </c>
      <c r="F46" s="311">
        <v>3200</v>
      </c>
      <c r="G46" s="312">
        <v>1600</v>
      </c>
      <c r="H46" s="313">
        <v>32000</v>
      </c>
      <c r="I46" s="354"/>
      <c r="J46" s="354"/>
      <c r="K46" s="354"/>
      <c r="L46" s="354"/>
      <c r="M46" s="354"/>
      <c r="N46" s="354"/>
      <c r="O46" s="354"/>
      <c r="P46" s="354"/>
      <c r="Q46" s="354"/>
      <c r="R46" s="354"/>
      <c r="S46" s="354"/>
      <c r="T46" s="354"/>
      <c r="U46" s="354"/>
      <c r="V46" s="354"/>
      <c r="W46" s="354"/>
      <c r="X46" s="354"/>
      <c r="Y46" s="354"/>
      <c r="Z46" s="354"/>
      <c r="AA46" s="354"/>
      <c r="BB46" s="363" t="s">
        <v>175</v>
      </c>
      <c r="BC46" s="364">
        <v>0.05</v>
      </c>
      <c r="BD46" s="365">
        <v>0.1</v>
      </c>
      <c r="BE46" s="365">
        <v>0.2</v>
      </c>
      <c r="BF46" s="365">
        <v>0.5</v>
      </c>
      <c r="BG46" s="365">
        <v>0.1</v>
      </c>
      <c r="BH46" s="366">
        <v>0.05</v>
      </c>
    </row>
    <row r="47" spans="1:60" ht="12.75">
      <c r="A47" s="363" t="s">
        <v>177</v>
      </c>
      <c r="B47" s="367">
        <v>28787.76</v>
      </c>
      <c r="C47" s="311">
        <v>158332.68</v>
      </c>
      <c r="D47" s="414">
        <v>0</v>
      </c>
      <c r="E47" s="311">
        <v>19191.84</v>
      </c>
      <c r="F47" s="311">
        <v>4797.96</v>
      </c>
      <c r="G47" s="312">
        <v>28787.76</v>
      </c>
      <c r="H47" s="313">
        <v>239898</v>
      </c>
      <c r="I47" s="354"/>
      <c r="J47" s="354"/>
      <c r="K47" s="354"/>
      <c r="L47" s="354"/>
      <c r="M47" s="354"/>
      <c r="N47" s="354"/>
      <c r="O47" s="354"/>
      <c r="P47" s="354"/>
      <c r="Q47" s="354"/>
      <c r="R47" s="354"/>
      <c r="S47" s="354"/>
      <c r="T47" s="354"/>
      <c r="U47" s="354"/>
      <c r="V47" s="354"/>
      <c r="W47" s="354"/>
      <c r="X47" s="354"/>
      <c r="Y47" s="354"/>
      <c r="Z47" s="354"/>
      <c r="AA47" s="354"/>
      <c r="BB47" s="363" t="s">
        <v>177</v>
      </c>
      <c r="BC47" s="364">
        <v>0.12</v>
      </c>
      <c r="BD47" s="365">
        <v>0.66</v>
      </c>
      <c r="BE47" s="365">
        <v>0</v>
      </c>
      <c r="BF47" s="365">
        <v>0.08</v>
      </c>
      <c r="BG47" s="365">
        <v>0.02</v>
      </c>
      <c r="BH47" s="366">
        <v>0.12</v>
      </c>
    </row>
    <row r="48" spans="1:60" ht="12.75">
      <c r="A48" s="363" t="s">
        <v>179</v>
      </c>
      <c r="B48" s="367">
        <v>0</v>
      </c>
      <c r="C48" s="311">
        <v>0</v>
      </c>
      <c r="D48" s="414">
        <v>0</v>
      </c>
      <c r="E48" s="311">
        <v>0</v>
      </c>
      <c r="F48" s="311">
        <v>0</v>
      </c>
      <c r="G48" s="312">
        <v>0</v>
      </c>
      <c r="H48" s="313">
        <v>0</v>
      </c>
      <c r="I48" s="354"/>
      <c r="J48" s="354"/>
      <c r="K48" s="354"/>
      <c r="L48" s="354"/>
      <c r="M48" s="354"/>
      <c r="N48" s="354"/>
      <c r="O48" s="354"/>
      <c r="P48" s="354"/>
      <c r="Q48" s="354"/>
      <c r="R48" s="354"/>
      <c r="S48" s="354"/>
      <c r="T48" s="354"/>
      <c r="U48" s="354"/>
      <c r="V48" s="354"/>
      <c r="W48" s="354"/>
      <c r="X48" s="354"/>
      <c r="Y48" s="354"/>
      <c r="Z48" s="354"/>
      <c r="AA48" s="354"/>
      <c r="BB48" s="363" t="s">
        <v>179</v>
      </c>
      <c r="BC48" s="364"/>
      <c r="BD48" s="365"/>
      <c r="BE48" s="365"/>
      <c r="BF48" s="365"/>
      <c r="BG48" s="365"/>
      <c r="BH48" s="366"/>
    </row>
    <row r="49" spans="1:60" ht="12.75">
      <c r="A49" s="363" t="s">
        <v>181</v>
      </c>
      <c r="B49" s="367">
        <v>0</v>
      </c>
      <c r="C49" s="311">
        <v>755525</v>
      </c>
      <c r="D49" s="414">
        <v>459000</v>
      </c>
      <c r="E49" s="311">
        <v>0</v>
      </c>
      <c r="F49" s="311">
        <v>0</v>
      </c>
      <c r="G49" s="312">
        <v>34925</v>
      </c>
      <c r="H49" s="313">
        <v>1249450</v>
      </c>
      <c r="BB49" s="363" t="s">
        <v>181</v>
      </c>
      <c r="BC49" s="364">
        <v>0</v>
      </c>
      <c r="BD49" s="368">
        <v>0.60442</v>
      </c>
      <c r="BE49" s="365">
        <v>0.3672</v>
      </c>
      <c r="BF49" s="365">
        <v>0</v>
      </c>
      <c r="BG49" s="365">
        <v>0</v>
      </c>
      <c r="BH49" s="366">
        <v>0.02794</v>
      </c>
    </row>
    <row r="50" spans="1:60" ht="12.75">
      <c r="A50" s="363" t="s">
        <v>183</v>
      </c>
      <c r="B50" s="367">
        <v>0</v>
      </c>
      <c r="C50" s="311">
        <v>12300</v>
      </c>
      <c r="D50" s="414">
        <v>172200</v>
      </c>
      <c r="E50" s="311">
        <v>4920</v>
      </c>
      <c r="F50" s="311">
        <v>17220</v>
      </c>
      <c r="G50" s="312">
        <v>41820</v>
      </c>
      <c r="H50" s="313">
        <v>248460</v>
      </c>
      <c r="BB50" s="363" t="s">
        <v>183</v>
      </c>
      <c r="BC50" s="364">
        <v>0</v>
      </c>
      <c r="BD50" s="365">
        <v>0.05</v>
      </c>
      <c r="BE50" s="365">
        <v>0.7</v>
      </c>
      <c r="BF50" s="365">
        <v>0.02</v>
      </c>
      <c r="BG50" s="365">
        <v>0.07</v>
      </c>
      <c r="BH50" s="366">
        <v>0.17</v>
      </c>
    </row>
    <row r="51" spans="1:60" ht="12.75">
      <c r="A51" s="363" t="s">
        <v>185</v>
      </c>
      <c r="B51" s="367">
        <v>34100</v>
      </c>
      <c r="C51" s="311">
        <v>9300</v>
      </c>
      <c r="D51" s="414">
        <v>6200</v>
      </c>
      <c r="E51" s="311">
        <v>3100</v>
      </c>
      <c r="F51" s="311">
        <v>0</v>
      </c>
      <c r="G51" s="312">
        <v>257300</v>
      </c>
      <c r="H51" s="313">
        <v>310000</v>
      </c>
      <c r="BB51" s="363" t="s">
        <v>185</v>
      </c>
      <c r="BC51" s="364">
        <v>0.11</v>
      </c>
      <c r="BD51" s="365">
        <v>0.03</v>
      </c>
      <c r="BE51" s="365">
        <v>0.02</v>
      </c>
      <c r="BF51" s="365">
        <v>0.01</v>
      </c>
      <c r="BG51" s="365">
        <v>0</v>
      </c>
      <c r="BH51" s="366">
        <v>0.83</v>
      </c>
    </row>
    <row r="52" spans="1:60" ht="12.75">
      <c r="A52" s="363" t="s">
        <v>187</v>
      </c>
      <c r="B52" s="367">
        <v>0</v>
      </c>
      <c r="C52" s="311">
        <v>28320</v>
      </c>
      <c r="D52" s="414">
        <v>2360</v>
      </c>
      <c r="E52" s="311">
        <v>4720</v>
      </c>
      <c r="F52" s="311">
        <v>0</v>
      </c>
      <c r="G52" s="312">
        <v>200600</v>
      </c>
      <c r="H52" s="313">
        <v>236000</v>
      </c>
      <c r="BB52" s="363" t="s">
        <v>187</v>
      </c>
      <c r="BC52" s="364">
        <v>0</v>
      </c>
      <c r="BD52" s="365">
        <v>0.12</v>
      </c>
      <c r="BE52" s="365">
        <v>0.01</v>
      </c>
      <c r="BF52" s="365">
        <v>0.02</v>
      </c>
      <c r="BG52" s="365">
        <v>0</v>
      </c>
      <c r="BH52" s="366">
        <v>0.85</v>
      </c>
    </row>
    <row r="53" spans="1:60" ht="12.75">
      <c r="A53" s="363" t="s">
        <v>189</v>
      </c>
      <c r="B53" s="367">
        <v>0</v>
      </c>
      <c r="C53" s="311">
        <v>0</v>
      </c>
      <c r="D53" s="414">
        <v>0</v>
      </c>
      <c r="E53" s="311">
        <v>0</v>
      </c>
      <c r="F53" s="311">
        <v>0</v>
      </c>
      <c r="G53" s="312">
        <v>0</v>
      </c>
      <c r="H53" s="313">
        <v>0</v>
      </c>
      <c r="BB53" s="363" t="s">
        <v>189</v>
      </c>
      <c r="BC53" s="364"/>
      <c r="BD53" s="365"/>
      <c r="BE53" s="365"/>
      <c r="BF53" s="365"/>
      <c r="BG53" s="365"/>
      <c r="BH53" s="366"/>
    </row>
    <row r="54" spans="1:60" ht="12.75">
      <c r="A54" s="363" t="s">
        <v>191</v>
      </c>
      <c r="B54" s="367">
        <v>179752.6</v>
      </c>
      <c r="C54" s="311">
        <v>3055794.2</v>
      </c>
      <c r="D54" s="414">
        <v>359505.2</v>
      </c>
      <c r="E54" s="311">
        <v>0</v>
      </c>
      <c r="F54" s="311">
        <v>0</v>
      </c>
      <c r="G54" s="312">
        <v>0</v>
      </c>
      <c r="H54" s="313">
        <v>3595052</v>
      </c>
      <c r="BB54" s="363" t="s">
        <v>191</v>
      </c>
      <c r="BC54" s="364">
        <v>0.05</v>
      </c>
      <c r="BD54" s="365">
        <v>0.85</v>
      </c>
      <c r="BE54" s="365">
        <v>0.1</v>
      </c>
      <c r="BF54" s="365">
        <v>0</v>
      </c>
      <c r="BG54" s="365">
        <v>0</v>
      </c>
      <c r="BH54" s="366">
        <v>0</v>
      </c>
    </row>
    <row r="55" spans="1:60" ht="12.75">
      <c r="A55" s="363" t="s">
        <v>193</v>
      </c>
      <c r="B55" s="367">
        <v>5375</v>
      </c>
      <c r="C55" s="311">
        <v>2687.5</v>
      </c>
      <c r="D55" s="414">
        <v>72025</v>
      </c>
      <c r="E55" s="311">
        <v>24725</v>
      </c>
      <c r="F55" s="311">
        <v>2687.5</v>
      </c>
      <c r="G55" s="312">
        <v>0</v>
      </c>
      <c r="H55" s="313">
        <v>107500</v>
      </c>
      <c r="BB55" s="363" t="s">
        <v>193</v>
      </c>
      <c r="BC55" s="364">
        <v>0.05</v>
      </c>
      <c r="BD55" s="365">
        <v>0.025</v>
      </c>
      <c r="BE55" s="365">
        <v>0.67</v>
      </c>
      <c r="BF55" s="365">
        <v>0.23</v>
      </c>
      <c r="BG55" s="365">
        <v>0.025</v>
      </c>
      <c r="BH55" s="366">
        <v>0</v>
      </c>
    </row>
    <row r="56" spans="1:60" ht="12.75">
      <c r="A56" s="363" t="s">
        <v>195</v>
      </c>
      <c r="B56" s="367">
        <v>0</v>
      </c>
      <c r="C56" s="311">
        <v>880000</v>
      </c>
      <c r="D56" s="414">
        <v>55000</v>
      </c>
      <c r="E56" s="311">
        <v>99000</v>
      </c>
      <c r="F56" s="311">
        <v>55000</v>
      </c>
      <c r="G56" s="312">
        <v>11000</v>
      </c>
      <c r="H56" s="313">
        <v>1100000</v>
      </c>
      <c r="BB56" s="363" t="s">
        <v>195</v>
      </c>
      <c r="BC56" s="364">
        <v>0</v>
      </c>
      <c r="BD56" s="365">
        <v>0.8</v>
      </c>
      <c r="BE56" s="365">
        <v>0.05</v>
      </c>
      <c r="BF56" s="365">
        <v>0.09</v>
      </c>
      <c r="BG56" s="365">
        <v>0.05</v>
      </c>
      <c r="BH56" s="366">
        <v>0.01</v>
      </c>
    </row>
    <row r="57" spans="1:60" ht="12.75">
      <c r="A57" s="363" t="s">
        <v>197</v>
      </c>
      <c r="B57" s="367">
        <v>12850</v>
      </c>
      <c r="C57" s="311">
        <v>12850</v>
      </c>
      <c r="D57" s="414">
        <v>462600</v>
      </c>
      <c r="E57" s="311">
        <v>12850</v>
      </c>
      <c r="F57" s="311">
        <v>12850</v>
      </c>
      <c r="G57" s="312">
        <v>0</v>
      </c>
      <c r="H57" s="313">
        <v>514000</v>
      </c>
      <c r="BB57" s="363" t="s">
        <v>197</v>
      </c>
      <c r="BC57" s="364">
        <v>0.025</v>
      </c>
      <c r="BD57" s="365">
        <v>0.025</v>
      </c>
      <c r="BE57" s="365">
        <v>0.9</v>
      </c>
      <c r="BF57" s="365">
        <v>0.025</v>
      </c>
      <c r="BG57" s="365">
        <v>0.025</v>
      </c>
      <c r="BH57" s="366">
        <v>0</v>
      </c>
    </row>
    <row r="58" spans="1:60" ht="13.5" thickBot="1">
      <c r="A58" s="369" t="s">
        <v>199</v>
      </c>
      <c r="B58" s="370">
        <v>0</v>
      </c>
      <c r="C58" s="324">
        <v>885760</v>
      </c>
      <c r="D58" s="415">
        <v>1550080</v>
      </c>
      <c r="E58" s="324">
        <v>1217920</v>
      </c>
      <c r="F58" s="324">
        <v>608960</v>
      </c>
      <c r="G58" s="325">
        <v>1273280</v>
      </c>
      <c r="H58" s="326">
        <v>5536000</v>
      </c>
      <c r="BB58" s="371" t="s">
        <v>199</v>
      </c>
      <c r="BC58" s="372">
        <v>0</v>
      </c>
      <c r="BD58" s="373">
        <v>0.16</v>
      </c>
      <c r="BE58" s="373">
        <v>0.28</v>
      </c>
      <c r="BF58" s="373">
        <v>0.22</v>
      </c>
      <c r="BG58" s="373">
        <v>0.11</v>
      </c>
      <c r="BH58" s="374">
        <v>0.23</v>
      </c>
    </row>
    <row r="59" spans="1:8" ht="14.25" thickBot="1" thickTop="1">
      <c r="A59" s="375" t="s">
        <v>149</v>
      </c>
      <c r="B59" s="376">
        <v>345900.03500000003</v>
      </c>
      <c r="C59" s="344">
        <v>10687953.405</v>
      </c>
      <c r="D59" s="416">
        <v>8809896.65</v>
      </c>
      <c r="E59" s="344">
        <v>1554359.5150000001</v>
      </c>
      <c r="F59" s="344">
        <v>799436.13</v>
      </c>
      <c r="G59" s="345">
        <v>1944947.7650000001</v>
      </c>
      <c r="H59" s="346">
        <v>24142493.5</v>
      </c>
    </row>
    <row r="60" spans="1:8" ht="14.25" thickBot="1" thickTop="1">
      <c r="A60" s="377" t="s">
        <v>211</v>
      </c>
      <c r="B60" s="378">
        <v>0.001489568008095946</v>
      </c>
      <c r="C60" s="352">
        <v>0.046026111168529164</v>
      </c>
      <c r="D60" s="417">
        <v>0.03793853390177207</v>
      </c>
      <c r="E60" s="352">
        <v>0.006693622354283747</v>
      </c>
      <c r="F60" s="352">
        <v>0.0034426549964472583</v>
      </c>
      <c r="G60" s="352">
        <v>0.008375633636931295</v>
      </c>
      <c r="H60" s="353">
        <v>0.10396612406605948</v>
      </c>
    </row>
    <row r="61" ht="13.5" thickTop="1"/>
    <row r="64" spans="1:8" ht="12.75">
      <c r="A64" s="379"/>
      <c r="B64" s="379"/>
      <c r="C64" s="379"/>
      <c r="D64" s="379"/>
      <c r="E64" s="379"/>
      <c r="F64" s="379"/>
      <c r="G64" s="379"/>
      <c r="H64" s="379"/>
    </row>
    <row r="65" spans="1:8" ht="12.75">
      <c r="A65" s="379"/>
      <c r="B65" s="379"/>
      <c r="C65" s="379"/>
      <c r="D65" s="282"/>
      <c r="E65" s="379"/>
      <c r="F65" s="379"/>
      <c r="G65" s="379"/>
      <c r="H65" s="379"/>
    </row>
    <row r="66" spans="1:8" ht="12.75">
      <c r="A66" s="380"/>
      <c r="B66" s="379"/>
      <c r="C66" s="379"/>
      <c r="D66" s="379"/>
      <c r="E66" s="379"/>
      <c r="F66" s="379"/>
      <c r="G66" s="379"/>
      <c r="H66" s="379"/>
    </row>
    <row r="67" spans="1:8" ht="12.75">
      <c r="A67" s="380"/>
      <c r="B67" s="379"/>
      <c r="C67" s="379"/>
      <c r="D67" s="379"/>
      <c r="E67" s="379"/>
      <c r="F67" s="379"/>
      <c r="G67" s="379"/>
      <c r="H67" s="379"/>
    </row>
    <row r="68" spans="1:8" ht="12.75">
      <c r="A68" s="380"/>
      <c r="B68" s="379"/>
      <c r="C68" s="379"/>
      <c r="D68" s="379"/>
      <c r="E68" s="379"/>
      <c r="F68" s="379"/>
      <c r="G68" s="379"/>
      <c r="H68" s="379"/>
    </row>
    <row r="69" spans="1:8" ht="12.75">
      <c r="A69" s="380"/>
      <c r="B69" s="379"/>
      <c r="C69" s="379"/>
      <c r="D69" s="379"/>
      <c r="E69" s="379"/>
      <c r="F69" s="379"/>
      <c r="G69" s="379"/>
      <c r="H69" s="379"/>
    </row>
    <row r="70" spans="1:8" ht="12.75">
      <c r="A70" s="380"/>
      <c r="B70" s="379"/>
      <c r="C70" s="379"/>
      <c r="D70" s="379"/>
      <c r="E70" s="379"/>
      <c r="F70" s="379"/>
      <c r="G70" s="379"/>
      <c r="H70" s="379"/>
    </row>
    <row r="71" spans="1:8" ht="12.75">
      <c r="A71" s="380"/>
      <c r="B71" s="379"/>
      <c r="C71" s="379"/>
      <c r="D71" s="379"/>
      <c r="E71" s="379"/>
      <c r="F71" s="379"/>
      <c r="G71" s="379"/>
      <c r="H71" s="379"/>
    </row>
    <row r="72" spans="1:8" ht="12.75">
      <c r="A72" s="380"/>
      <c r="B72" s="379"/>
      <c r="C72" s="379"/>
      <c r="D72" s="379"/>
      <c r="E72" s="379"/>
      <c r="F72" s="379"/>
      <c r="G72" s="379"/>
      <c r="H72" s="379"/>
    </row>
    <row r="73" spans="1:8" ht="12.75">
      <c r="A73" s="380"/>
      <c r="B73" s="379"/>
      <c r="C73" s="379"/>
      <c r="D73" s="379"/>
      <c r="E73" s="379"/>
      <c r="F73" s="379"/>
      <c r="G73" s="379"/>
      <c r="H73" s="379"/>
    </row>
    <row r="74" spans="1:8" ht="12.75">
      <c r="A74" s="380"/>
      <c r="B74" s="379"/>
      <c r="C74" s="379"/>
      <c r="D74" s="379"/>
      <c r="E74" s="379"/>
      <c r="F74" s="379"/>
      <c r="G74" s="379"/>
      <c r="H74" s="379"/>
    </row>
    <row r="75" spans="1:8" ht="12.75">
      <c r="A75" s="380"/>
      <c r="B75" s="379"/>
      <c r="C75" s="379"/>
      <c r="D75" s="379"/>
      <c r="E75" s="379"/>
      <c r="F75" s="379"/>
      <c r="G75" s="379"/>
      <c r="H75" s="379"/>
    </row>
    <row r="76" spans="1:8" ht="12.75">
      <c r="A76" s="380"/>
      <c r="B76" s="379"/>
      <c r="C76" s="379"/>
      <c r="D76" s="379"/>
      <c r="E76" s="379"/>
      <c r="F76" s="379"/>
      <c r="G76" s="379"/>
      <c r="H76" s="379"/>
    </row>
    <row r="77" spans="1:8" ht="12.75">
      <c r="A77" s="380"/>
      <c r="B77" s="379"/>
      <c r="C77" s="379"/>
      <c r="D77" s="379"/>
      <c r="E77" s="379"/>
      <c r="F77" s="379"/>
      <c r="G77" s="379"/>
      <c r="H77" s="379"/>
    </row>
    <row r="78" spans="1:8" ht="12.75">
      <c r="A78" s="380"/>
      <c r="B78" s="379"/>
      <c r="C78" s="381"/>
      <c r="D78" s="379"/>
      <c r="E78" s="379"/>
      <c r="F78" s="379"/>
      <c r="G78" s="379"/>
      <c r="H78" s="379"/>
    </row>
    <row r="79" spans="1:8" ht="12.75">
      <c r="A79" s="380"/>
      <c r="B79" s="379"/>
      <c r="C79" s="379"/>
      <c r="D79" s="379"/>
      <c r="E79" s="379"/>
      <c r="F79" s="379"/>
      <c r="G79" s="379"/>
      <c r="H79" s="379"/>
    </row>
    <row r="80" spans="1:8" ht="12.75">
      <c r="A80" s="380"/>
      <c r="B80" s="379"/>
      <c r="C80" s="379"/>
      <c r="D80" s="379"/>
      <c r="E80" s="379"/>
      <c r="F80" s="379"/>
      <c r="G80" s="379"/>
      <c r="H80" s="379"/>
    </row>
    <row r="81" spans="1:8" ht="12.75">
      <c r="A81" s="380"/>
      <c r="B81" s="379"/>
      <c r="C81" s="379"/>
      <c r="D81" s="379"/>
      <c r="E81" s="379"/>
      <c r="F81" s="379"/>
      <c r="G81" s="379"/>
      <c r="H81" s="379"/>
    </row>
    <row r="82" spans="1:8" ht="12.75">
      <c r="A82" s="380"/>
      <c r="B82" s="379"/>
      <c r="C82" s="379"/>
      <c r="D82" s="379"/>
      <c r="E82" s="379"/>
      <c r="F82" s="379"/>
      <c r="G82" s="379"/>
      <c r="H82" s="379"/>
    </row>
    <row r="83" spans="1:8" ht="12.75">
      <c r="A83" s="380"/>
      <c r="B83" s="379"/>
      <c r="C83" s="379"/>
      <c r="D83" s="379"/>
      <c r="E83" s="379"/>
      <c r="F83" s="379"/>
      <c r="G83" s="379"/>
      <c r="H83" s="379"/>
    </row>
    <row r="84" spans="1:8" ht="12.75">
      <c r="A84" s="380"/>
      <c r="B84" s="379"/>
      <c r="C84" s="379"/>
      <c r="D84" s="379"/>
      <c r="E84" s="379"/>
      <c r="F84" s="379"/>
      <c r="G84" s="379"/>
      <c r="H84" s="379"/>
    </row>
    <row r="85" spans="1:8" ht="12.75">
      <c r="A85" s="380"/>
      <c r="B85" s="379"/>
      <c r="C85" s="379"/>
      <c r="D85" s="379"/>
      <c r="E85" s="379"/>
      <c r="F85" s="379"/>
      <c r="G85" s="379"/>
      <c r="H85" s="379"/>
    </row>
    <row r="86" spans="1:8" ht="12.75">
      <c r="A86" s="380"/>
      <c r="B86" s="379"/>
      <c r="C86" s="379"/>
      <c r="D86" s="379"/>
      <c r="E86" s="379"/>
      <c r="F86" s="379"/>
      <c r="G86" s="379"/>
      <c r="H86" s="379"/>
    </row>
    <row r="87" spans="1:8" ht="12.75">
      <c r="A87" s="380"/>
      <c r="B87" s="379"/>
      <c r="C87" s="379"/>
      <c r="D87" s="379"/>
      <c r="E87" s="379"/>
      <c r="F87" s="379"/>
      <c r="G87" s="379"/>
      <c r="H87" s="379"/>
    </row>
    <row r="88" spans="1:8" ht="12.75">
      <c r="A88" s="379"/>
      <c r="B88" s="382"/>
      <c r="C88" s="382"/>
      <c r="D88" s="382"/>
      <c r="E88" s="382"/>
      <c r="F88" s="382"/>
      <c r="G88" s="382"/>
      <c r="H88" s="379"/>
    </row>
    <row r="89" spans="1:8" ht="12.75">
      <c r="A89" s="379"/>
      <c r="B89" s="379"/>
      <c r="C89" s="379"/>
      <c r="D89" s="379"/>
      <c r="E89" s="379"/>
      <c r="F89" s="379"/>
      <c r="G89" s="379"/>
      <c r="H89" s="379"/>
    </row>
  </sheetData>
  <printOptions/>
  <pageMargins left="0.75" right="0.75" top="1" bottom="1" header="0.4921259845" footer="0.4921259845"/>
  <pageSetup horizontalDpi="300" verticalDpi="300" orientation="portrait" paperSize="9" r:id="rId1"/>
</worksheet>
</file>

<file path=xl/worksheets/sheet32.xml><?xml version="1.0" encoding="utf-8"?>
<worksheet xmlns="http://schemas.openxmlformats.org/spreadsheetml/2006/main" xmlns:r="http://schemas.openxmlformats.org/officeDocument/2006/relationships">
  <sheetPr codeName="Tabelle20">
    <tabColor indexed="12"/>
  </sheetPr>
  <dimension ref="A2:M54"/>
  <sheetViews>
    <sheetView workbookViewId="0" topLeftCell="A1">
      <selection activeCell="A1" sqref="A1"/>
    </sheetView>
  </sheetViews>
  <sheetFormatPr defaultColWidth="9.140625" defaultRowHeight="12.75"/>
  <cols>
    <col min="1" max="3" width="11.421875" style="0" customWidth="1"/>
    <col min="4" max="4" width="13.7109375" style="0" bestFit="1" customWidth="1"/>
    <col min="5" max="5" width="11.57421875" style="0" bestFit="1" customWidth="1"/>
    <col min="6" max="8" width="11.421875" style="0" customWidth="1"/>
    <col min="9" max="10" width="12.7109375" style="0" bestFit="1" customWidth="1"/>
    <col min="11" max="16384" width="11.421875" style="0" customWidth="1"/>
  </cols>
  <sheetData>
    <row r="2" spans="1:12" ht="12.75">
      <c r="A2" s="265" t="s">
        <v>128</v>
      </c>
      <c r="B2" s="265" t="s">
        <v>129</v>
      </c>
      <c r="C2" s="265"/>
      <c r="D2" s="265" t="s">
        <v>212</v>
      </c>
      <c r="E2" s="265" t="s">
        <v>213</v>
      </c>
      <c r="F2" s="265" t="s">
        <v>214</v>
      </c>
      <c r="G2" s="265" t="s">
        <v>215</v>
      </c>
      <c r="H2" s="265" t="s">
        <v>216</v>
      </c>
      <c r="I2" s="265"/>
      <c r="J2" s="265" t="s">
        <v>217</v>
      </c>
      <c r="K2" s="265" t="s">
        <v>216</v>
      </c>
      <c r="L2" s="265" t="s">
        <v>216</v>
      </c>
    </row>
    <row r="3" spans="1:13" ht="12.75">
      <c r="A3" s="265"/>
      <c r="B3" s="265"/>
      <c r="C3" s="265"/>
      <c r="D3" s="365" t="s">
        <v>218</v>
      </c>
      <c r="E3" s="365" t="s">
        <v>219</v>
      </c>
      <c r="F3" s="365" t="s">
        <v>220</v>
      </c>
      <c r="G3" s="365" t="s">
        <v>221</v>
      </c>
      <c r="H3" s="365"/>
      <c r="I3" s="365" t="s">
        <v>222</v>
      </c>
      <c r="J3" s="365"/>
      <c r="K3" s="265" t="s">
        <v>223</v>
      </c>
      <c r="L3" s="265" t="s">
        <v>224</v>
      </c>
      <c r="M3" t="s">
        <v>225</v>
      </c>
    </row>
    <row r="4" spans="1:12" ht="12.75">
      <c r="A4" s="289" t="s">
        <v>156</v>
      </c>
      <c r="B4" s="265" t="s">
        <v>157</v>
      </c>
      <c r="C4" s="265"/>
      <c r="D4" s="303">
        <v>84000</v>
      </c>
      <c r="E4" s="383">
        <v>8.1</v>
      </c>
      <c r="F4" s="365">
        <v>145</v>
      </c>
      <c r="G4" s="365">
        <v>1300</v>
      </c>
      <c r="H4" s="383">
        <v>8.25</v>
      </c>
      <c r="I4" s="265" t="s">
        <v>226</v>
      </c>
      <c r="J4" s="265" t="s">
        <v>227</v>
      </c>
      <c r="K4" s="384">
        <f>H4</f>
        <v>8.25</v>
      </c>
      <c r="L4" s="384">
        <f>K4/0.5</f>
        <v>16.5</v>
      </c>
    </row>
    <row r="5" spans="1:12" ht="12.75">
      <c r="A5" s="289" t="s">
        <v>158</v>
      </c>
      <c r="B5" s="265" t="s">
        <v>159</v>
      </c>
      <c r="C5" s="265"/>
      <c r="D5" s="303">
        <v>30500</v>
      </c>
      <c r="E5" s="383">
        <v>10.5</v>
      </c>
      <c r="F5" s="365">
        <v>275</v>
      </c>
      <c r="G5" s="365">
        <v>1800</v>
      </c>
      <c r="H5" s="383">
        <v>5</v>
      </c>
      <c r="I5" s="265" t="s">
        <v>224</v>
      </c>
      <c r="J5" s="265">
        <v>2003</v>
      </c>
      <c r="K5" s="384">
        <f>H5*0.5</f>
        <v>2.5</v>
      </c>
      <c r="L5" s="384">
        <f>H5</f>
        <v>5</v>
      </c>
    </row>
    <row r="6" spans="1:12" ht="12.75">
      <c r="A6" s="289" t="s">
        <v>160</v>
      </c>
      <c r="B6" s="265" t="s">
        <v>161</v>
      </c>
      <c r="C6" s="265"/>
      <c r="D6" s="303">
        <v>111000</v>
      </c>
      <c r="E6" s="383">
        <v>7.5</v>
      </c>
      <c r="F6" s="365">
        <v>24.5</v>
      </c>
      <c r="G6" s="365"/>
      <c r="H6" s="383">
        <v>4.2</v>
      </c>
      <c r="I6" s="265" t="s">
        <v>224</v>
      </c>
      <c r="J6" s="365">
        <v>2005</v>
      </c>
      <c r="K6" s="384">
        <f>H6*0.5</f>
        <v>2.1</v>
      </c>
      <c r="L6" s="384">
        <f>H6</f>
        <v>4.2</v>
      </c>
    </row>
    <row r="7" spans="1:12" ht="12.75">
      <c r="A7" s="289" t="s">
        <v>162</v>
      </c>
      <c r="B7" s="265" t="s">
        <v>163</v>
      </c>
      <c r="C7" s="265"/>
      <c r="D7" s="303">
        <v>56594</v>
      </c>
      <c r="E7" s="383">
        <v>4.42</v>
      </c>
      <c r="F7" s="365">
        <v>30.95</v>
      </c>
      <c r="G7" s="365">
        <v>412.04</v>
      </c>
      <c r="H7" s="383">
        <v>3.3</v>
      </c>
      <c r="I7" s="265" t="s">
        <v>224</v>
      </c>
      <c r="J7" s="365">
        <v>2005</v>
      </c>
      <c r="K7" s="384">
        <f>H7*0.5</f>
        <v>1.65</v>
      </c>
      <c r="L7" s="384">
        <f>H7</f>
        <v>3.3</v>
      </c>
    </row>
    <row r="8" spans="1:12" ht="12.75">
      <c r="A8" s="289" t="s">
        <v>164</v>
      </c>
      <c r="B8" s="265" t="s">
        <v>228</v>
      </c>
      <c r="C8" s="265"/>
      <c r="D8" s="303"/>
      <c r="E8" s="383"/>
      <c r="F8" s="365"/>
      <c r="G8" s="365"/>
      <c r="H8" s="383"/>
      <c r="I8" s="383"/>
      <c r="J8" s="265"/>
      <c r="K8" s="265"/>
      <c r="L8" s="265"/>
    </row>
    <row r="9" spans="1:12" ht="12.75">
      <c r="A9" s="289" t="s">
        <v>166</v>
      </c>
      <c r="B9" s="265" t="s">
        <v>167</v>
      </c>
      <c r="C9" s="265"/>
      <c r="D9" s="303">
        <v>338145</v>
      </c>
      <c r="E9" s="383">
        <v>5.3</v>
      </c>
      <c r="F9" s="365">
        <v>150</v>
      </c>
      <c r="G9" s="365">
        <v>1362</v>
      </c>
      <c r="H9" s="383">
        <v>80.9</v>
      </c>
      <c r="I9" s="265" t="s">
        <v>224</v>
      </c>
      <c r="J9" s="365" t="s">
        <v>229</v>
      </c>
      <c r="K9" s="384">
        <f>H9*0.5</f>
        <v>40.45</v>
      </c>
      <c r="L9" s="384">
        <f>H9</f>
        <v>80.9</v>
      </c>
    </row>
    <row r="10" spans="1:12" ht="12.75">
      <c r="A10" s="289" t="s">
        <v>168</v>
      </c>
      <c r="B10" s="265" t="s">
        <v>169</v>
      </c>
      <c r="C10" s="265"/>
      <c r="D10" s="303"/>
      <c r="E10" s="383"/>
      <c r="F10" s="365"/>
      <c r="G10" s="365"/>
      <c r="H10" s="383"/>
      <c r="I10" s="383"/>
      <c r="J10" s="365"/>
      <c r="K10" s="265"/>
      <c r="L10" s="265"/>
    </row>
    <row r="11" spans="1:12" ht="12.75">
      <c r="A11" s="289" t="s">
        <v>170</v>
      </c>
      <c r="B11" s="265" t="s">
        <v>171</v>
      </c>
      <c r="C11" s="265"/>
      <c r="D11" s="303"/>
      <c r="E11" s="383"/>
      <c r="F11" s="365"/>
      <c r="G11" s="365"/>
      <c r="H11" s="383"/>
      <c r="I11" s="383"/>
      <c r="J11" s="365"/>
      <c r="K11" s="265"/>
      <c r="L11" s="265"/>
    </row>
    <row r="12" spans="1:12" ht="12.75">
      <c r="A12" s="289" t="s">
        <v>172</v>
      </c>
      <c r="B12" s="265" t="s">
        <v>173</v>
      </c>
      <c r="C12" s="265"/>
      <c r="D12" s="303"/>
      <c r="E12" s="383"/>
      <c r="F12" s="365"/>
      <c r="G12" s="365"/>
      <c r="H12" s="383"/>
      <c r="I12" s="383"/>
      <c r="J12" s="365"/>
      <c r="K12" s="265"/>
      <c r="L12" s="265"/>
    </row>
    <row r="13" spans="1:12" ht="12.75">
      <c r="A13" s="289" t="s">
        <v>230</v>
      </c>
      <c r="B13" s="265" t="s">
        <v>176</v>
      </c>
      <c r="C13" s="265"/>
      <c r="D13" s="303">
        <v>93000</v>
      </c>
      <c r="E13" s="383">
        <v>10</v>
      </c>
      <c r="F13" s="365">
        <v>75</v>
      </c>
      <c r="G13" s="365">
        <v>1088</v>
      </c>
      <c r="H13" s="383">
        <v>3.5</v>
      </c>
      <c r="I13" s="265" t="s">
        <v>224</v>
      </c>
      <c r="J13" s="365">
        <v>2004</v>
      </c>
      <c r="K13" s="384">
        <f>H13*0.5</f>
        <v>1.75</v>
      </c>
      <c r="L13" s="384">
        <f>H13</f>
        <v>3.5</v>
      </c>
    </row>
    <row r="14" spans="1:12" ht="12.75">
      <c r="A14" s="289" t="s">
        <v>177</v>
      </c>
      <c r="B14" s="265" t="s">
        <v>178</v>
      </c>
      <c r="C14" s="265"/>
      <c r="D14" s="303">
        <v>70282</v>
      </c>
      <c r="E14" s="383">
        <v>4.235</v>
      </c>
      <c r="F14" s="365">
        <v>1622</v>
      </c>
      <c r="G14" s="365">
        <v>629</v>
      </c>
      <c r="H14" s="383">
        <v>3</v>
      </c>
      <c r="I14" s="265" t="s">
        <v>224</v>
      </c>
      <c r="J14" s="365" t="s">
        <v>229</v>
      </c>
      <c r="K14" s="384">
        <f>H14*0.5</f>
        <v>1.5</v>
      </c>
      <c r="L14" s="384">
        <f>H14</f>
        <v>3</v>
      </c>
    </row>
    <row r="15" spans="1:12" ht="12.75">
      <c r="A15" s="289" t="s">
        <v>179</v>
      </c>
      <c r="B15" s="265" t="s">
        <v>180</v>
      </c>
      <c r="C15" s="265"/>
      <c r="D15" s="303"/>
      <c r="E15" s="383"/>
      <c r="F15" s="365"/>
      <c r="G15" s="365"/>
      <c r="H15" s="383"/>
      <c r="I15" s="383"/>
      <c r="J15" s="365"/>
      <c r="K15" s="265"/>
      <c r="L15" s="265"/>
    </row>
    <row r="16" spans="1:12" ht="12.75">
      <c r="A16" s="289" t="s">
        <v>181</v>
      </c>
      <c r="B16" s="265" t="s">
        <v>182</v>
      </c>
      <c r="C16" s="265"/>
      <c r="D16" s="303">
        <v>34000</v>
      </c>
      <c r="E16" s="383">
        <v>16.4</v>
      </c>
      <c r="F16" s="365">
        <v>30436</v>
      </c>
      <c r="G16" s="365">
        <v>3280</v>
      </c>
      <c r="H16" s="383">
        <v>13.2</v>
      </c>
      <c r="I16" s="265" t="s">
        <v>224</v>
      </c>
      <c r="J16" s="365" t="s">
        <v>229</v>
      </c>
      <c r="K16" s="384">
        <f>H16*0.5</f>
        <v>6.6</v>
      </c>
      <c r="L16" s="384">
        <f>H16</f>
        <v>13.2</v>
      </c>
    </row>
    <row r="17" spans="1:12" ht="12.75">
      <c r="A17" s="289" t="s">
        <v>183</v>
      </c>
      <c r="B17" s="265" t="s">
        <v>184</v>
      </c>
      <c r="C17" s="265"/>
      <c r="D17" s="303">
        <v>385199</v>
      </c>
      <c r="E17" s="383">
        <v>4.66</v>
      </c>
      <c r="F17" s="365">
        <v>155</v>
      </c>
      <c r="G17" s="365">
        <v>803</v>
      </c>
      <c r="H17" s="383">
        <v>3.6</v>
      </c>
      <c r="I17" s="265" t="s">
        <v>224</v>
      </c>
      <c r="J17" s="365">
        <v>2004</v>
      </c>
      <c r="K17" s="384">
        <f>H17*0.5</f>
        <v>1.8</v>
      </c>
      <c r="L17" s="384">
        <f>H17</f>
        <v>3.6</v>
      </c>
    </row>
    <row r="18" spans="1:12" ht="12.75">
      <c r="A18" s="289" t="s">
        <v>185</v>
      </c>
      <c r="B18" s="265" t="s">
        <v>186</v>
      </c>
      <c r="C18" s="265"/>
      <c r="D18" s="303">
        <v>312683</v>
      </c>
      <c r="E18" s="383">
        <v>38.16</v>
      </c>
      <c r="F18" s="365">
        <v>224.7</v>
      </c>
      <c r="G18" s="365">
        <v>4300</v>
      </c>
      <c r="H18" s="383">
        <v>32.546</v>
      </c>
      <c r="I18" s="265" t="s">
        <v>224</v>
      </c>
      <c r="J18" s="365">
        <v>2005</v>
      </c>
      <c r="K18" s="384">
        <f>H18*0.5</f>
        <v>16.273</v>
      </c>
      <c r="L18" s="384">
        <f>H18</f>
        <v>32.546</v>
      </c>
    </row>
    <row r="19" spans="1:12" ht="12.75">
      <c r="A19" s="289" t="s">
        <v>231</v>
      </c>
      <c r="B19" s="265" t="s">
        <v>188</v>
      </c>
      <c r="C19" s="265"/>
      <c r="D19" s="303">
        <v>92152</v>
      </c>
      <c r="E19" s="383">
        <v>10.5</v>
      </c>
      <c r="F19" s="365">
        <v>135</v>
      </c>
      <c r="G19" s="365">
        <v>110</v>
      </c>
      <c r="H19" s="383">
        <v>12</v>
      </c>
      <c r="I19" s="265" t="s">
        <v>224</v>
      </c>
      <c r="J19" s="365">
        <v>2004</v>
      </c>
      <c r="K19" s="384">
        <f>H19*0.5</f>
        <v>6</v>
      </c>
      <c r="L19" s="384">
        <f>H19</f>
        <v>12</v>
      </c>
    </row>
    <row r="20" spans="1:12" ht="12.75">
      <c r="A20" s="289" t="s">
        <v>189</v>
      </c>
      <c r="B20" s="265" t="s">
        <v>190</v>
      </c>
      <c r="C20" s="265"/>
      <c r="D20" s="303"/>
      <c r="E20" s="383"/>
      <c r="F20" s="365"/>
      <c r="G20" s="365"/>
      <c r="H20" s="383"/>
      <c r="I20" s="383"/>
      <c r="J20" s="365"/>
      <c r="K20" s="265"/>
      <c r="L20" s="265"/>
    </row>
    <row r="21" spans="1:12" ht="12.75">
      <c r="A21" s="289" t="s">
        <v>191</v>
      </c>
      <c r="B21" s="265" t="s">
        <v>192</v>
      </c>
      <c r="C21" s="265"/>
      <c r="D21" s="303">
        <v>88361</v>
      </c>
      <c r="E21" s="383">
        <v>7.5</v>
      </c>
      <c r="F21" s="365">
        <v>18.79</v>
      </c>
      <c r="G21" s="365">
        <v>560</v>
      </c>
      <c r="H21" s="383">
        <v>1.4</v>
      </c>
      <c r="I21" s="265" t="s">
        <v>226</v>
      </c>
      <c r="J21" s="365" t="s">
        <v>232</v>
      </c>
      <c r="K21" s="384">
        <f>H21</f>
        <v>1.4</v>
      </c>
      <c r="L21" s="384">
        <f>K21/0.5</f>
        <v>2.8</v>
      </c>
    </row>
    <row r="22" spans="1:12" ht="12.75">
      <c r="A22" s="289" t="s">
        <v>193</v>
      </c>
      <c r="B22" s="265" t="s">
        <v>194</v>
      </c>
      <c r="C22" s="265"/>
      <c r="D22" s="303">
        <v>20273</v>
      </c>
      <c r="E22" s="383">
        <v>2</v>
      </c>
      <c r="F22" s="365">
        <v>27.75</v>
      </c>
      <c r="G22" s="365">
        <v>212.642</v>
      </c>
      <c r="H22" s="383">
        <v>2.958</v>
      </c>
      <c r="I22" s="265" t="s">
        <v>224</v>
      </c>
      <c r="J22" s="365">
        <v>2005</v>
      </c>
      <c r="K22" s="384">
        <f>H22*0.5</f>
        <v>1.479</v>
      </c>
      <c r="L22" s="384">
        <f>H22</f>
        <v>2.958</v>
      </c>
    </row>
    <row r="23" spans="1:12" ht="12.75">
      <c r="A23" s="289" t="s">
        <v>195</v>
      </c>
      <c r="B23" s="265" t="s">
        <v>196</v>
      </c>
      <c r="C23" s="265"/>
      <c r="D23" s="303">
        <v>504782</v>
      </c>
      <c r="E23" s="383">
        <v>44</v>
      </c>
      <c r="F23" s="365">
        <v>905.5</v>
      </c>
      <c r="G23" s="365">
        <v>5903.64</v>
      </c>
      <c r="H23" s="383">
        <v>20</v>
      </c>
      <c r="I23" s="265" t="s">
        <v>224</v>
      </c>
      <c r="J23" s="365" t="s">
        <v>233</v>
      </c>
      <c r="K23" s="384">
        <f>H23*0.5</f>
        <v>10</v>
      </c>
      <c r="L23" s="384">
        <f>H23</f>
        <v>20</v>
      </c>
    </row>
    <row r="24" spans="1:12" ht="12.75">
      <c r="A24" s="289" t="s">
        <v>197</v>
      </c>
      <c r="B24" s="265" t="s">
        <v>198</v>
      </c>
      <c r="C24" s="265"/>
      <c r="D24" s="303">
        <v>449964</v>
      </c>
      <c r="E24" s="383">
        <v>9</v>
      </c>
      <c r="F24" s="365">
        <v>280</v>
      </c>
      <c r="G24" s="365">
        <v>1450</v>
      </c>
      <c r="H24" s="383">
        <v>83.7</v>
      </c>
      <c r="I24" s="265" t="s">
        <v>224</v>
      </c>
      <c r="J24" s="365">
        <v>2004</v>
      </c>
      <c r="K24" s="384">
        <f>H24*0.5</f>
        <v>41.85</v>
      </c>
      <c r="L24" s="384">
        <f>H24</f>
        <v>83.7</v>
      </c>
    </row>
    <row r="25" spans="1:12" ht="12.75">
      <c r="A25" s="289" t="s">
        <v>199</v>
      </c>
      <c r="B25" s="265" t="s">
        <v>200</v>
      </c>
      <c r="C25" s="265"/>
      <c r="D25" s="303">
        <v>241590</v>
      </c>
      <c r="E25" s="383">
        <v>60.44</v>
      </c>
      <c r="F25" s="365">
        <v>1780</v>
      </c>
      <c r="G25" s="365">
        <v>10337.2</v>
      </c>
      <c r="H25" s="383">
        <v>45</v>
      </c>
      <c r="I25" s="265" t="s">
        <v>224</v>
      </c>
      <c r="J25" s="365" t="s">
        <v>234</v>
      </c>
      <c r="K25" s="384">
        <f>H25*0.5</f>
        <v>22.5</v>
      </c>
      <c r="L25" s="384">
        <f>H25</f>
        <v>45</v>
      </c>
    </row>
    <row r="26" spans="1:12" s="347" customFormat="1" ht="12.75">
      <c r="A26" s="327" t="s">
        <v>149</v>
      </c>
      <c r="B26" s="327"/>
      <c r="C26" s="327"/>
      <c r="D26" s="385">
        <f>SUM(D4:D25)</f>
        <v>2912525</v>
      </c>
      <c r="E26" s="385">
        <f>SUM(E4:E25)</f>
        <v>242.71499999999997</v>
      </c>
      <c r="F26" s="385">
        <f>SUM(F4:F25)</f>
        <v>36285.189999999995</v>
      </c>
      <c r="G26" s="385">
        <f>SUM(G4:G25)</f>
        <v>33547.522</v>
      </c>
      <c r="H26" s="385"/>
      <c r="I26" s="327"/>
      <c r="J26" s="327"/>
      <c r="K26" s="385">
        <f>SUM(K4:K25)</f>
        <v>166.102</v>
      </c>
      <c r="L26" s="385">
        <f>SUM(L4:L25)</f>
        <v>332.204</v>
      </c>
    </row>
    <row r="29" ht="13.5" thickBot="1"/>
    <row r="30" spans="1:9" ht="12.75">
      <c r="A30" s="386" t="s">
        <v>128</v>
      </c>
      <c r="B30" s="387" t="s">
        <v>129</v>
      </c>
      <c r="C30" s="388"/>
      <c r="D30" s="389" t="s">
        <v>212</v>
      </c>
      <c r="E30" s="390" t="s">
        <v>213</v>
      </c>
      <c r="F30" s="390" t="s">
        <v>214</v>
      </c>
      <c r="G30" s="390" t="s">
        <v>235</v>
      </c>
      <c r="H30" s="390" t="s">
        <v>236</v>
      </c>
      <c r="I30" s="391" t="s">
        <v>236</v>
      </c>
    </row>
    <row r="31" spans="1:9" ht="12.75">
      <c r="A31" s="392"/>
      <c r="B31" s="393"/>
      <c r="C31" s="394"/>
      <c r="D31" s="395" t="s">
        <v>218</v>
      </c>
      <c r="E31" s="365" t="s">
        <v>219</v>
      </c>
      <c r="F31" s="365" t="s">
        <v>220</v>
      </c>
      <c r="G31" s="365" t="s">
        <v>221</v>
      </c>
      <c r="H31" s="365" t="s">
        <v>223</v>
      </c>
      <c r="I31" s="396" t="s">
        <v>224</v>
      </c>
    </row>
    <row r="32" spans="1:9" ht="12.75">
      <c r="A32" s="392" t="s">
        <v>156</v>
      </c>
      <c r="B32" s="393" t="s">
        <v>157</v>
      </c>
      <c r="C32" s="394"/>
      <c r="D32" s="367">
        <v>84000</v>
      </c>
      <c r="E32" s="397">
        <v>8.1</v>
      </c>
      <c r="F32" s="365">
        <v>145</v>
      </c>
      <c r="G32" s="365">
        <v>1300</v>
      </c>
      <c r="H32" s="397">
        <v>8.25</v>
      </c>
      <c r="I32" s="398">
        <v>16.5</v>
      </c>
    </row>
    <row r="33" spans="1:9" ht="12.75">
      <c r="A33" s="392" t="s">
        <v>158</v>
      </c>
      <c r="B33" s="393" t="s">
        <v>159</v>
      </c>
      <c r="C33" s="394"/>
      <c r="D33" s="303">
        <v>30500</v>
      </c>
      <c r="E33" s="383">
        <v>10.5</v>
      </c>
      <c r="F33" s="365">
        <v>275</v>
      </c>
      <c r="G33" s="365">
        <v>1800</v>
      </c>
      <c r="H33" s="397">
        <v>2.5</v>
      </c>
      <c r="I33" s="398">
        <v>5</v>
      </c>
    </row>
    <row r="34" spans="1:9" ht="12.75">
      <c r="A34" s="392" t="s">
        <v>160</v>
      </c>
      <c r="B34" s="393" t="s">
        <v>161</v>
      </c>
      <c r="C34" s="394"/>
      <c r="D34" s="367">
        <v>111000</v>
      </c>
      <c r="E34" s="397">
        <v>7.5</v>
      </c>
      <c r="F34" s="365">
        <v>24.5</v>
      </c>
      <c r="G34" s="365"/>
      <c r="H34" s="397">
        <v>2.1</v>
      </c>
      <c r="I34" s="398">
        <v>4.2</v>
      </c>
    </row>
    <row r="35" spans="1:9" ht="12.75">
      <c r="A35" s="392" t="s">
        <v>162</v>
      </c>
      <c r="B35" s="393" t="s">
        <v>163</v>
      </c>
      <c r="C35" s="394"/>
      <c r="D35" s="367">
        <v>56594</v>
      </c>
      <c r="E35" s="397">
        <v>4.42</v>
      </c>
      <c r="F35" s="365">
        <v>30.95</v>
      </c>
      <c r="G35" s="365">
        <v>412.04</v>
      </c>
      <c r="H35" s="397">
        <v>1.65</v>
      </c>
      <c r="I35" s="398">
        <v>3.3</v>
      </c>
    </row>
    <row r="36" spans="1:9" ht="12.75">
      <c r="A36" s="392" t="s">
        <v>164</v>
      </c>
      <c r="B36" s="393" t="s">
        <v>228</v>
      </c>
      <c r="C36" s="394"/>
      <c r="D36" s="367"/>
      <c r="E36" s="397"/>
      <c r="F36" s="365"/>
      <c r="G36" s="365"/>
      <c r="H36" s="365"/>
      <c r="I36" s="396"/>
    </row>
    <row r="37" spans="1:9" ht="12.75">
      <c r="A37" s="392" t="s">
        <v>166</v>
      </c>
      <c r="B37" s="393" t="s">
        <v>167</v>
      </c>
      <c r="C37" s="394"/>
      <c r="D37" s="367">
        <v>338145</v>
      </c>
      <c r="E37" s="397">
        <v>5.3</v>
      </c>
      <c r="F37" s="365">
        <v>150</v>
      </c>
      <c r="G37" s="365">
        <v>1362</v>
      </c>
      <c r="H37" s="397">
        <v>40.45</v>
      </c>
      <c r="I37" s="398">
        <v>80.9</v>
      </c>
    </row>
    <row r="38" spans="1:9" ht="12.75">
      <c r="A38" s="392" t="s">
        <v>168</v>
      </c>
      <c r="B38" s="393" t="s">
        <v>169</v>
      </c>
      <c r="C38" s="394"/>
      <c r="D38" s="367"/>
      <c r="E38" s="397"/>
      <c r="F38" s="365"/>
      <c r="G38" s="365"/>
      <c r="H38" s="365"/>
      <c r="I38" s="396"/>
    </row>
    <row r="39" spans="1:9" ht="12.75">
      <c r="A39" s="392" t="s">
        <v>170</v>
      </c>
      <c r="B39" s="393" t="s">
        <v>171</v>
      </c>
      <c r="C39" s="394"/>
      <c r="D39" s="367"/>
      <c r="E39" s="397"/>
      <c r="F39" s="365"/>
      <c r="G39" s="365"/>
      <c r="H39" s="365"/>
      <c r="I39" s="396"/>
    </row>
    <row r="40" spans="1:9" ht="12.75">
      <c r="A40" s="392" t="s">
        <v>172</v>
      </c>
      <c r="B40" s="393" t="s">
        <v>173</v>
      </c>
      <c r="C40" s="394"/>
      <c r="D40" s="367"/>
      <c r="E40" s="397"/>
      <c r="F40" s="365"/>
      <c r="G40" s="365"/>
      <c r="H40" s="365"/>
      <c r="I40" s="396"/>
    </row>
    <row r="41" spans="1:9" ht="12.75">
      <c r="A41" s="392" t="s">
        <v>175</v>
      </c>
      <c r="B41" s="393" t="s">
        <v>176</v>
      </c>
      <c r="C41" s="394"/>
      <c r="D41" s="367">
        <v>93000</v>
      </c>
      <c r="E41" s="397">
        <v>10</v>
      </c>
      <c r="F41" s="365">
        <v>75</v>
      </c>
      <c r="G41" s="365">
        <v>1088</v>
      </c>
      <c r="H41" s="397">
        <v>1.75</v>
      </c>
      <c r="I41" s="398">
        <v>3.5</v>
      </c>
    </row>
    <row r="42" spans="1:9" ht="12.75">
      <c r="A42" s="392" t="s">
        <v>177</v>
      </c>
      <c r="B42" s="393" t="s">
        <v>178</v>
      </c>
      <c r="C42" s="394"/>
      <c r="D42" s="367">
        <v>70282</v>
      </c>
      <c r="E42" s="397">
        <v>4.235</v>
      </c>
      <c r="F42" s="365">
        <v>1622</v>
      </c>
      <c r="G42" s="365">
        <v>629</v>
      </c>
      <c r="H42" s="397">
        <v>1.5</v>
      </c>
      <c r="I42" s="398">
        <v>3</v>
      </c>
    </row>
    <row r="43" spans="1:9" ht="12.75">
      <c r="A43" s="392" t="s">
        <v>179</v>
      </c>
      <c r="B43" s="393" t="s">
        <v>180</v>
      </c>
      <c r="C43" s="394"/>
      <c r="D43" s="367"/>
      <c r="E43" s="397"/>
      <c r="F43" s="365"/>
      <c r="G43" s="365"/>
      <c r="H43" s="365"/>
      <c r="I43" s="396"/>
    </row>
    <row r="44" spans="1:9" ht="12.75">
      <c r="A44" s="392" t="s">
        <v>181</v>
      </c>
      <c r="B44" s="393" t="s">
        <v>182</v>
      </c>
      <c r="C44" s="394"/>
      <c r="D44" s="367">
        <v>34000</v>
      </c>
      <c r="E44" s="397">
        <v>16.4</v>
      </c>
      <c r="F44" s="365">
        <v>30436</v>
      </c>
      <c r="G44" s="365">
        <v>3280</v>
      </c>
      <c r="H44" s="397">
        <v>6.6</v>
      </c>
      <c r="I44" s="398">
        <v>13.2</v>
      </c>
    </row>
    <row r="45" spans="1:9" ht="12.75">
      <c r="A45" s="392" t="s">
        <v>183</v>
      </c>
      <c r="B45" s="393" t="s">
        <v>184</v>
      </c>
      <c r="C45" s="394"/>
      <c r="D45" s="367">
        <v>385199</v>
      </c>
      <c r="E45" s="397">
        <v>4.66</v>
      </c>
      <c r="F45" s="365">
        <v>155</v>
      </c>
      <c r="G45" s="365">
        <v>803</v>
      </c>
      <c r="H45" s="397">
        <v>1.8</v>
      </c>
      <c r="I45" s="398">
        <v>3.6</v>
      </c>
    </row>
    <row r="46" spans="1:9" ht="12.75">
      <c r="A46" s="392" t="s">
        <v>185</v>
      </c>
      <c r="B46" s="393" t="s">
        <v>186</v>
      </c>
      <c r="C46" s="394"/>
      <c r="D46" s="367">
        <v>312683</v>
      </c>
      <c r="E46" s="397">
        <v>38.16</v>
      </c>
      <c r="F46" s="365">
        <v>224.7</v>
      </c>
      <c r="G46" s="365">
        <v>4300</v>
      </c>
      <c r="H46" s="397">
        <v>16.273</v>
      </c>
      <c r="I46" s="398">
        <v>32.546</v>
      </c>
    </row>
    <row r="47" spans="1:9" ht="12.75">
      <c r="A47" s="392" t="s">
        <v>231</v>
      </c>
      <c r="B47" s="393" t="s">
        <v>188</v>
      </c>
      <c r="C47" s="394"/>
      <c r="D47" s="367">
        <v>92152</v>
      </c>
      <c r="E47" s="397">
        <v>10.5</v>
      </c>
      <c r="F47" s="365">
        <v>135</v>
      </c>
      <c r="G47" s="365">
        <v>110</v>
      </c>
      <c r="H47" s="397">
        <v>6</v>
      </c>
      <c r="I47" s="398">
        <v>12</v>
      </c>
    </row>
    <row r="48" spans="1:9" ht="12.75">
      <c r="A48" s="392" t="s">
        <v>189</v>
      </c>
      <c r="B48" s="393" t="s">
        <v>190</v>
      </c>
      <c r="C48" s="394"/>
      <c r="D48" s="367"/>
      <c r="E48" s="397"/>
      <c r="F48" s="365"/>
      <c r="G48" s="365"/>
      <c r="H48" s="365"/>
      <c r="I48" s="396"/>
    </row>
    <row r="49" spans="1:9" ht="12.75">
      <c r="A49" s="392" t="s">
        <v>191</v>
      </c>
      <c r="B49" s="393" t="s">
        <v>192</v>
      </c>
      <c r="C49" s="394"/>
      <c r="D49" s="367">
        <v>88361</v>
      </c>
      <c r="E49" s="397">
        <v>7.5</v>
      </c>
      <c r="F49" s="365">
        <v>18.79</v>
      </c>
      <c r="G49" s="365">
        <v>560</v>
      </c>
      <c r="H49" s="397">
        <v>1.4</v>
      </c>
      <c r="I49" s="398">
        <v>2.8</v>
      </c>
    </row>
    <row r="50" spans="1:9" ht="12.75">
      <c r="A50" s="392" t="s">
        <v>193</v>
      </c>
      <c r="B50" s="393" t="s">
        <v>194</v>
      </c>
      <c r="C50" s="394"/>
      <c r="D50" s="367">
        <v>20273</v>
      </c>
      <c r="E50" s="397">
        <v>2</v>
      </c>
      <c r="F50" s="365">
        <v>27.75</v>
      </c>
      <c r="G50" s="365">
        <v>212.642</v>
      </c>
      <c r="H50" s="397">
        <v>1.479</v>
      </c>
      <c r="I50" s="398">
        <v>2.958</v>
      </c>
    </row>
    <row r="51" spans="1:9" ht="12.75">
      <c r="A51" s="392" t="s">
        <v>195</v>
      </c>
      <c r="B51" s="393" t="s">
        <v>196</v>
      </c>
      <c r="C51" s="394"/>
      <c r="D51" s="367">
        <v>504782</v>
      </c>
      <c r="E51" s="397">
        <v>44</v>
      </c>
      <c r="F51" s="365">
        <v>905.5</v>
      </c>
      <c r="G51" s="365">
        <v>5903.64</v>
      </c>
      <c r="H51" s="397">
        <v>10</v>
      </c>
      <c r="I51" s="398">
        <v>20</v>
      </c>
    </row>
    <row r="52" spans="1:9" ht="12.75">
      <c r="A52" s="392" t="s">
        <v>197</v>
      </c>
      <c r="B52" s="393" t="s">
        <v>198</v>
      </c>
      <c r="C52" s="394"/>
      <c r="D52" s="367">
        <v>449964</v>
      </c>
      <c r="E52" s="397">
        <v>9</v>
      </c>
      <c r="F52" s="365">
        <v>280</v>
      </c>
      <c r="G52" s="365">
        <v>1450</v>
      </c>
      <c r="H52" s="397">
        <v>41.85</v>
      </c>
      <c r="I52" s="398">
        <v>83.7</v>
      </c>
    </row>
    <row r="53" spans="1:9" ht="13.5" thickBot="1">
      <c r="A53" s="399" t="s">
        <v>237</v>
      </c>
      <c r="B53" s="400" t="s">
        <v>200</v>
      </c>
      <c r="C53" s="401"/>
      <c r="D53" s="402">
        <v>241590</v>
      </c>
      <c r="E53" s="403">
        <v>60.44</v>
      </c>
      <c r="F53" s="280">
        <v>1780</v>
      </c>
      <c r="G53" s="280">
        <v>10337.2</v>
      </c>
      <c r="H53" s="403">
        <v>22.5</v>
      </c>
      <c r="I53" s="404">
        <v>45</v>
      </c>
    </row>
    <row r="54" spans="1:9" ht="13.5" thickBot="1">
      <c r="A54" s="405" t="s">
        <v>149</v>
      </c>
      <c r="B54" s="406"/>
      <c r="C54" s="407"/>
      <c r="D54" s="408">
        <f>SUM(D32:D53)</f>
        <v>2912525</v>
      </c>
      <c r="E54" s="408">
        <f>SUM(E32:E53)</f>
        <v>242.71499999999997</v>
      </c>
      <c r="F54" s="408">
        <f>SUM(F32:F53)</f>
        <v>36285.189999999995</v>
      </c>
      <c r="G54" s="408">
        <f>SUM(G32:G53)</f>
        <v>33547.522</v>
      </c>
      <c r="H54" s="409">
        <v>163.602</v>
      </c>
      <c r="I54" s="410">
        <v>327.204</v>
      </c>
    </row>
  </sheetData>
  <printOptions/>
  <pageMargins left="0.75" right="0.75" top="1" bottom="1" header="0.4921259845" footer="0.4921259845"/>
  <pageSetup horizontalDpi="300" verticalDpi="300" orientation="portrait" paperSize="9" r:id="rId1"/>
</worksheet>
</file>

<file path=xl/worksheets/sheet33.xml><?xml version="1.0" encoding="utf-8"?>
<worksheet xmlns="http://schemas.openxmlformats.org/spreadsheetml/2006/main" xmlns:r="http://schemas.openxmlformats.org/officeDocument/2006/relationships">
  <sheetPr codeName="Tabelle1">
    <tabColor indexed="12"/>
  </sheetPr>
  <dimension ref="A1:D27"/>
  <sheetViews>
    <sheetView workbookViewId="0" topLeftCell="A1">
      <selection activeCell="A1" sqref="A1"/>
    </sheetView>
  </sheetViews>
  <sheetFormatPr defaultColWidth="9.140625" defaultRowHeight="12.75"/>
  <cols>
    <col min="1" max="1" width="41.00390625" style="0" bestFit="1" customWidth="1"/>
    <col min="2" max="16384" width="11.421875" style="0" customWidth="1"/>
  </cols>
  <sheetData>
    <row r="1" spans="2:4" ht="12.75">
      <c r="B1">
        <v>2004</v>
      </c>
      <c r="C1">
        <v>2005</v>
      </c>
      <c r="D1" t="s">
        <v>527</v>
      </c>
    </row>
    <row r="2" spans="1:4" ht="12.75">
      <c r="A2" t="s">
        <v>240</v>
      </c>
      <c r="B2">
        <v>3.222</v>
      </c>
      <c r="C2">
        <v>3.499</v>
      </c>
      <c r="D2" s="514">
        <v>0.086</v>
      </c>
    </row>
    <row r="3" spans="1:4" ht="12.75">
      <c r="A3" t="s">
        <v>311</v>
      </c>
      <c r="B3">
        <v>0.346</v>
      </c>
      <c r="C3">
        <v>0.382</v>
      </c>
      <c r="D3" s="514">
        <v>0.10400000000000001</v>
      </c>
    </row>
    <row r="4" spans="1:4" ht="12.75">
      <c r="A4" t="s">
        <v>283</v>
      </c>
      <c r="B4">
        <v>0.006</v>
      </c>
      <c r="C4">
        <v>0.006</v>
      </c>
      <c r="D4" s="514">
        <v>0</v>
      </c>
    </row>
    <row r="5" spans="1:4" ht="12.75">
      <c r="A5" t="s">
        <v>238</v>
      </c>
      <c r="B5">
        <v>0.895</v>
      </c>
      <c r="C5">
        <v>1.007</v>
      </c>
      <c r="D5" s="514">
        <v>0.125</v>
      </c>
    </row>
    <row r="6" spans="1:4" ht="12.75">
      <c r="A6" t="s">
        <v>291</v>
      </c>
      <c r="B6">
        <v>1.071</v>
      </c>
      <c r="C6">
        <v>1.113</v>
      </c>
      <c r="D6" s="514">
        <v>0.039</v>
      </c>
    </row>
    <row r="7" spans="1:4" ht="12.75">
      <c r="A7" t="s">
        <v>294</v>
      </c>
      <c r="B7">
        <v>0.15</v>
      </c>
      <c r="C7">
        <v>0.15</v>
      </c>
      <c r="D7" s="514">
        <v>0</v>
      </c>
    </row>
    <row r="8" spans="1:4" ht="12.75">
      <c r="A8" t="s">
        <v>122</v>
      </c>
      <c r="B8">
        <v>6.903</v>
      </c>
      <c r="C8">
        <v>7.232</v>
      </c>
      <c r="D8" s="514">
        <v>0.048</v>
      </c>
    </row>
    <row r="9" spans="1:4" ht="12.75">
      <c r="A9" t="s">
        <v>242</v>
      </c>
      <c r="B9">
        <v>9.002</v>
      </c>
      <c r="C9">
        <v>9.18</v>
      </c>
      <c r="D9" s="514">
        <v>0.02</v>
      </c>
    </row>
    <row r="10" spans="1:4" ht="12.75">
      <c r="A10" t="s">
        <v>239</v>
      </c>
      <c r="B10">
        <v>5.191</v>
      </c>
      <c r="C10">
        <v>6.263</v>
      </c>
      <c r="D10" s="514">
        <v>0.207</v>
      </c>
    </row>
    <row r="11" spans="1:4" ht="12.75">
      <c r="A11" t="s">
        <v>314</v>
      </c>
      <c r="B11">
        <v>0.909</v>
      </c>
      <c r="C11">
        <v>0.927</v>
      </c>
      <c r="D11" s="514">
        <v>0.019</v>
      </c>
    </row>
    <row r="12" spans="1:4" ht="12.75">
      <c r="A12" t="s">
        <v>315</v>
      </c>
      <c r="B12">
        <v>0.777</v>
      </c>
      <c r="C12">
        <v>0.805</v>
      </c>
      <c r="D12" s="514">
        <v>0.036000000000000004</v>
      </c>
    </row>
    <row r="13" spans="1:4" ht="12.75">
      <c r="A13" t="s">
        <v>290</v>
      </c>
      <c r="B13">
        <v>0.145</v>
      </c>
      <c r="C13">
        <v>0.144</v>
      </c>
      <c r="D13" s="514">
        <v>-0.006</v>
      </c>
    </row>
    <row r="14" spans="1:4" ht="12.75">
      <c r="A14" t="s">
        <v>179</v>
      </c>
      <c r="B14">
        <v>1.015</v>
      </c>
      <c r="C14">
        <v>1.083</v>
      </c>
      <c r="D14" s="514">
        <v>0.067</v>
      </c>
    </row>
    <row r="15" spans="1:4" ht="12.75">
      <c r="A15" t="s">
        <v>295</v>
      </c>
      <c r="B15">
        <v>1.24</v>
      </c>
      <c r="C15">
        <v>1.3</v>
      </c>
      <c r="D15" s="514">
        <v>0.048</v>
      </c>
    </row>
    <row r="16" spans="1:4" ht="12.75">
      <c r="A16" t="s">
        <v>280</v>
      </c>
      <c r="B16">
        <v>0.672</v>
      </c>
      <c r="C16">
        <v>0.697</v>
      </c>
      <c r="D16" s="514">
        <v>0.037000000000000005</v>
      </c>
    </row>
    <row r="17" spans="1:4" ht="12.75">
      <c r="A17" t="s">
        <v>296</v>
      </c>
      <c r="B17">
        <v>0.015</v>
      </c>
      <c r="C17">
        <v>0.015</v>
      </c>
      <c r="D17" s="514">
        <v>0</v>
      </c>
    </row>
    <row r="18" spans="1:3" ht="12.75">
      <c r="A18" t="s">
        <v>318</v>
      </c>
      <c r="B18">
        <v>0</v>
      </c>
      <c r="C18">
        <v>0</v>
      </c>
    </row>
    <row r="19" spans="1:4" ht="12.75">
      <c r="A19" t="s">
        <v>284</v>
      </c>
      <c r="B19">
        <v>0.561</v>
      </c>
      <c r="C19">
        <v>0.72</v>
      </c>
      <c r="D19" s="514">
        <v>0.282</v>
      </c>
    </row>
    <row r="20" spans="1:4" ht="12.75">
      <c r="A20" t="s">
        <v>292</v>
      </c>
      <c r="B20">
        <v>3.921</v>
      </c>
      <c r="C20">
        <v>3.927</v>
      </c>
      <c r="D20" s="514">
        <v>0.002</v>
      </c>
    </row>
    <row r="21" spans="1:4" ht="12.75">
      <c r="A21" t="s">
        <v>289</v>
      </c>
      <c r="B21">
        <v>2.652</v>
      </c>
      <c r="C21">
        <v>2.666</v>
      </c>
      <c r="D21" s="514">
        <v>0.005</v>
      </c>
    </row>
    <row r="22" spans="1:4" ht="12.75">
      <c r="A22" t="s">
        <v>293</v>
      </c>
      <c r="B22">
        <v>0.3</v>
      </c>
      <c r="C22">
        <v>0.303</v>
      </c>
      <c r="D22" s="514">
        <v>0.011000000000000001</v>
      </c>
    </row>
    <row r="23" spans="1:4" ht="12.75">
      <c r="A23" t="s">
        <v>281</v>
      </c>
      <c r="B23">
        <v>0.422</v>
      </c>
      <c r="C23">
        <v>0.422</v>
      </c>
      <c r="D23" s="514">
        <v>0</v>
      </c>
    </row>
    <row r="24" spans="1:4" ht="12.75">
      <c r="A24" t="s">
        <v>288</v>
      </c>
      <c r="B24">
        <v>4.062</v>
      </c>
      <c r="C24">
        <v>4.107</v>
      </c>
      <c r="D24" s="514">
        <v>0.011000000000000001</v>
      </c>
    </row>
    <row r="25" spans="1:4" ht="12.75">
      <c r="A25" t="s">
        <v>1</v>
      </c>
      <c r="B25">
        <v>7.927</v>
      </c>
      <c r="C25">
        <v>8.26</v>
      </c>
      <c r="D25" s="514">
        <v>0.042</v>
      </c>
    </row>
    <row r="26" spans="1:4" ht="12.75">
      <c r="A26" t="s">
        <v>199</v>
      </c>
      <c r="B26">
        <v>1.084</v>
      </c>
      <c r="C26">
        <v>1.231</v>
      </c>
      <c r="D26" s="514">
        <v>0.136</v>
      </c>
    </row>
    <row r="27" spans="1:4" ht="12.75">
      <c r="A27" t="s">
        <v>47</v>
      </c>
      <c r="B27">
        <v>52.488</v>
      </c>
      <c r="C27">
        <v>55.439</v>
      </c>
      <c r="D27">
        <v>5.6</v>
      </c>
    </row>
  </sheetData>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sheetPr codeName="Tabelle21">
    <tabColor indexed="21"/>
  </sheetPr>
  <dimension ref="A1:U828"/>
  <sheetViews>
    <sheetView showGridLines="0" zoomScale="95" zoomScaleNormal="95" zoomScaleSheetLayoutView="85" workbookViewId="0" topLeftCell="A1">
      <selection activeCell="A1" sqref="A1"/>
    </sheetView>
  </sheetViews>
  <sheetFormatPr defaultColWidth="9.140625" defaultRowHeight="12.75"/>
  <cols>
    <col min="1" max="1" width="16.00390625" style="0" customWidth="1"/>
    <col min="2" max="7" width="12.421875" style="0" customWidth="1"/>
    <col min="8" max="8" width="14.57421875" style="0" customWidth="1"/>
    <col min="9" max="9" width="15.8515625" style="0" customWidth="1"/>
    <col min="10" max="14" width="13.421875" style="0" customWidth="1"/>
    <col min="15" max="15" width="0" style="0" hidden="1" customWidth="1"/>
    <col min="16" max="16" width="18.28125" style="0" hidden="1" customWidth="1"/>
    <col min="17" max="17" width="13.28125" style="0" hidden="1" customWidth="1"/>
    <col min="18" max="18" width="17.140625" style="555" hidden="1" customWidth="1"/>
    <col min="19" max="19" width="14.8515625" style="0" hidden="1" customWidth="1"/>
    <col min="20" max="20" width="16.8515625" style="0" hidden="1" customWidth="1"/>
    <col min="21" max="21" width="19.8515625" style="0" hidden="1" customWidth="1"/>
  </cols>
  <sheetData>
    <row r="1" spans="1:14" ht="13.5" thickBot="1">
      <c r="A1" s="646"/>
      <c r="B1" s="646"/>
      <c r="C1" s="646"/>
      <c r="D1" s="646"/>
      <c r="E1" s="646"/>
      <c r="F1" s="646"/>
      <c r="G1" s="646"/>
      <c r="H1" s="646"/>
      <c r="I1" s="646"/>
      <c r="J1" s="646"/>
      <c r="K1" s="646"/>
      <c r="L1" s="379"/>
      <c r="M1" s="379"/>
      <c r="N1" s="379"/>
    </row>
    <row r="2" spans="1:21" ht="25.5" customHeight="1" thickBot="1">
      <c r="A2" s="1250"/>
      <c r="B2" s="1323" t="s">
        <v>73</v>
      </c>
      <c r="C2" s="1324"/>
      <c r="D2" s="1321" t="s">
        <v>76</v>
      </c>
      <c r="E2" s="1322"/>
      <c r="F2" s="1319" t="s">
        <v>79</v>
      </c>
      <c r="G2" s="1320"/>
      <c r="H2" s="881" t="s">
        <v>47</v>
      </c>
      <c r="I2" s="1164"/>
      <c r="J2" s="1164"/>
      <c r="K2" s="1164"/>
      <c r="L2" s="560"/>
      <c r="M2" s="560"/>
      <c r="N2" s="560"/>
      <c r="O2" s="561"/>
      <c r="P2" s="1317" t="s">
        <v>357</v>
      </c>
      <c r="Q2" s="551"/>
      <c r="R2" s="551"/>
      <c r="S2" s="1254" t="s">
        <v>336</v>
      </c>
      <c r="T2" s="1254" t="s">
        <v>337</v>
      </c>
      <c r="U2" s="1254" t="s">
        <v>338</v>
      </c>
    </row>
    <row r="3" spans="1:21" ht="27.75" customHeight="1" thickBot="1">
      <c r="A3" s="1250"/>
      <c r="B3" s="444" t="s">
        <v>421</v>
      </c>
      <c r="C3" s="574" t="s">
        <v>70</v>
      </c>
      <c r="D3" s="575" t="s">
        <v>421</v>
      </c>
      <c r="E3" s="574" t="s">
        <v>70</v>
      </c>
      <c r="F3" s="575" t="s">
        <v>421</v>
      </c>
      <c r="G3" s="445" t="s">
        <v>70</v>
      </c>
      <c r="H3" s="925" t="s">
        <v>421</v>
      </c>
      <c r="I3" s="1165"/>
      <c r="J3" s="1165"/>
      <c r="K3" s="1165"/>
      <c r="L3" s="562"/>
      <c r="M3" s="562"/>
      <c r="N3" s="562"/>
      <c r="O3" s="561"/>
      <c r="P3" s="1318"/>
      <c r="Q3" s="552" t="s">
        <v>358</v>
      </c>
      <c r="R3" s="552" t="s">
        <v>359</v>
      </c>
      <c r="S3" s="1249"/>
      <c r="T3" s="1249"/>
      <c r="U3" s="1249"/>
    </row>
    <row r="4" spans="1:21" ht="15.75">
      <c r="A4" s="569" t="s">
        <v>240</v>
      </c>
      <c r="B4" s="844">
        <f ca="1">(INDIRECT(CONCATENATE("'",$A4,"'","!Ao14")))/1000</f>
        <v>6929.323</v>
      </c>
      <c r="C4" s="856">
        <f ca="1">INDIRECT(CONCATENATE("'",$A4,"'","!AP14"))</f>
        <v>0.47977143268801553</v>
      </c>
      <c r="D4" s="849">
        <f ca="1">(INDIRECT(CONCATENATE("'",$A4,"'","!Ao15")))/1000</f>
        <v>7025.394062830482</v>
      </c>
      <c r="E4" s="856">
        <f ca="1">INDIRECT(CONCATENATE("'",$A4,"'","!AP15"))</f>
        <v>0.4864231866117453</v>
      </c>
      <c r="F4" s="849">
        <f ca="1">(INDIRECT(CONCATENATE("'",$A4,"'","!AO16")))/1000</f>
        <v>488.25</v>
      </c>
      <c r="G4" s="861">
        <f ca="1">INDIRECT(CONCATENATE("'",$A4,"'","!AP16"))</f>
        <v>0.033805380700239196</v>
      </c>
      <c r="H4" s="852">
        <f>F4+D4+B4</f>
        <v>14442.967062830481</v>
      </c>
      <c r="I4" s="1166"/>
      <c r="J4" s="1166"/>
      <c r="K4" s="1166"/>
      <c r="L4" s="563"/>
      <c r="M4" s="563"/>
      <c r="N4" s="563"/>
      <c r="O4" s="561" t="str">
        <f>A4</f>
        <v>Austria</v>
      </c>
      <c r="P4" s="550">
        <f ca="1">INDIRECT(CONCATENATE("'",$A4,"'","!An27"))</f>
        <v>3.0956092738</v>
      </c>
      <c r="Q4" s="550">
        <f>VLOOKUP(A4,'Eurobserver 2005'!$A$2:$E$27,3,FALSE)</f>
        <v>3.499</v>
      </c>
      <c r="R4" s="443">
        <f aca="true" t="shared" si="0" ref="R4:R10">P4/Q4</f>
        <v>0.884712567533581</v>
      </c>
      <c r="S4" s="451">
        <f ca="1">INDIRECT(CONCATENATE("'",$A4,"'","!AO14"))/1000000</f>
        <v>6.929323</v>
      </c>
      <c r="T4" s="451">
        <f ca="1" t="shared" si="1" ref="T4:T15">INDIRECT(CONCATENATE("'",$A4,"'","!AL11"))</f>
        <v>1.7628681321867867</v>
      </c>
      <c r="U4" s="1174">
        <f>T4/S4</f>
        <v>0.2544069791791762</v>
      </c>
    </row>
    <row r="5" spans="1:21" ht="15.75">
      <c r="A5" s="571" t="s">
        <v>238</v>
      </c>
      <c r="B5" s="845">
        <f aca="true" ca="1" t="shared" si="2" ref="B5:B15">(INDIRECT(CONCATENATE("'",$A5,"'","!Ao14")))/1000</f>
        <v>5036</v>
      </c>
      <c r="C5" s="857">
        <f ca="1" t="shared" si="3" ref="C5:C15">INDIRECT(CONCATENATE("'",$A5,"'","!AP14"))</f>
        <v>0.634336818239073</v>
      </c>
      <c r="D5" s="850">
        <f aca="true" ca="1" t="shared" si="4" ref="D5:D15">(INDIRECT(CONCATENATE("'",$A5,"'","!Ao15")))/1000</f>
        <v>2903</v>
      </c>
      <c r="E5" s="857">
        <f ca="1" t="shared" si="5" ref="E5:E15">INDIRECT(CONCATENATE("'",$A5,"'","!AP15"))</f>
        <v>0.36566318176092705</v>
      </c>
      <c r="F5" s="850">
        <f ca="1">(INDIRECT(CONCATENATE("'",$A5,"'","!AO16")))/1000</f>
        <v>0</v>
      </c>
      <c r="G5" s="862">
        <v>0</v>
      </c>
      <c r="H5" s="853">
        <f aca="true" t="shared" si="6" ref="H5:H20">F5+D5+B5</f>
        <v>7939</v>
      </c>
      <c r="I5" s="1166"/>
      <c r="J5" s="1166"/>
      <c r="K5" s="1166"/>
      <c r="L5" s="563"/>
      <c r="M5" s="563"/>
      <c r="N5" s="563"/>
      <c r="O5" s="561" t="str">
        <f aca="true" t="shared" si="7" ref="O5:O20">A5</f>
        <v>Czech Republic</v>
      </c>
      <c r="P5" s="550">
        <f ca="1" t="shared" si="8" ref="P5:P15">INDIRECT(CONCATENATE("'",$A5,"'","!An27"))</f>
        <v>1.7015923333333336</v>
      </c>
      <c r="Q5" s="550">
        <f>VLOOKUP(A5,'Eurobserver 2005'!$A$2:$E$27,3,FALSE)</f>
        <v>1.007</v>
      </c>
      <c r="R5" s="443">
        <f t="shared" si="0"/>
        <v>1.6897639854352868</v>
      </c>
      <c r="S5" s="451">
        <f ca="1" t="shared" si="9" ref="S5:S15">INDIRECT(CONCATENATE("'",$A5,"'","!AO14"))/1000000</f>
        <v>5.036</v>
      </c>
      <c r="T5" s="451">
        <f ca="1" t="shared" si="1"/>
        <v>0.7756372335181972</v>
      </c>
      <c r="U5" s="1174">
        <f aca="true" t="shared" si="10" ref="U5:U15">T5/S5</f>
        <v>0.1540185134071083</v>
      </c>
    </row>
    <row r="6" spans="1:21" ht="16.5" thickBot="1">
      <c r="A6" s="882" t="s">
        <v>122</v>
      </c>
      <c r="B6" s="883">
        <f ca="1">(INDIRECT(CONCATENATE("'",$A6,"'","!Ao14")))/1000</f>
        <v>6802.529334762668</v>
      </c>
      <c r="C6" s="884">
        <f ca="1">INDIRECT(CONCATENATE("'",$A6,"'","!AP14"))</f>
        <v>0.20668149727340832</v>
      </c>
      <c r="D6" s="885">
        <f ca="1">(INDIRECT(CONCATENATE("'",$A6,"'","!Ao15")))/1000</f>
        <v>25807.56321189923</v>
      </c>
      <c r="E6" s="884">
        <f ca="1">INDIRECT(CONCATENATE("'",$A6,"'","!AP15"))</f>
        <v>0.7841121358133119</v>
      </c>
      <c r="F6" s="885">
        <f ca="1">(INDIRECT(CONCATENATE("'",$A6,"'","!AO16")))/1000</f>
        <v>303.01009921235993</v>
      </c>
      <c r="G6" s="886">
        <f ca="1">INDIRECT(CONCATENATE("'",$A6,"'","!AP16"))</f>
        <v>0.00920636691327984</v>
      </c>
      <c r="H6" s="887">
        <f>F6+D6+B6</f>
        <v>32913.102645874256</v>
      </c>
      <c r="I6" s="1166"/>
      <c r="J6" s="1166"/>
      <c r="K6" s="1166"/>
      <c r="L6" s="563"/>
      <c r="M6" s="563"/>
      <c r="N6" s="563"/>
      <c r="O6" s="561" t="str">
        <f t="shared" si="7"/>
        <v>Finland</v>
      </c>
      <c r="P6" s="550">
        <f ca="1">INDIRECT(CONCATENATE("'",$A6,"'","!An27"))</f>
        <v>7.054375000432382</v>
      </c>
      <c r="Q6" s="550">
        <f>VLOOKUP(A6,'Eurobserver 2005'!$A$2:$E$27,3,FALSE)</f>
        <v>7.232</v>
      </c>
      <c r="R6" s="443">
        <f>P6/Q6</f>
        <v>0.9754390210774865</v>
      </c>
      <c r="S6" s="451">
        <f ca="1" t="shared" si="9"/>
        <v>6.802529334762668</v>
      </c>
      <c r="T6" s="451">
        <f ca="1" t="shared" si="1"/>
        <v>6.291485798730095</v>
      </c>
      <c r="U6" s="1174">
        <f t="shared" si="10"/>
        <v>0.9248744825809115</v>
      </c>
    </row>
    <row r="7" spans="1:21" ht="15.75">
      <c r="A7" s="569" t="s">
        <v>242</v>
      </c>
      <c r="B7" s="844">
        <f ca="1">(INDIRECT(CONCATENATE("'",$A7,"'","!Ao14")))/1000</f>
        <v>34786.619718309856</v>
      </c>
      <c r="C7" s="856">
        <f ca="1" t="shared" si="3"/>
        <v>0.8430030000100689</v>
      </c>
      <c r="D7" s="849">
        <f ca="1" t="shared" si="4"/>
        <v>4978.5</v>
      </c>
      <c r="E7" s="856">
        <f ca="1" t="shared" si="5"/>
        <v>0.12064668741990772</v>
      </c>
      <c r="F7" s="849">
        <f ca="1">(INDIRECT(CONCATENATE("'",$A7,"'","!AO16")))/1000</f>
        <v>1500</v>
      </c>
      <c r="G7" s="861">
        <f ca="1">INDIRECT(CONCATENATE("'",$A7,"'","!AP16"))</f>
        <v>0.03635031257002342</v>
      </c>
      <c r="H7" s="852">
        <f t="shared" si="6"/>
        <v>41265.119718309856</v>
      </c>
      <c r="I7" s="1166"/>
      <c r="J7" s="1166"/>
      <c r="K7" s="1166"/>
      <c r="L7" s="563"/>
      <c r="M7" s="563"/>
      <c r="N7" s="563"/>
      <c r="O7" s="561" t="str">
        <f t="shared" si="7"/>
        <v>France</v>
      </c>
      <c r="P7" s="550">
        <f ca="1" t="shared" si="8"/>
        <v>8.844490659624412</v>
      </c>
      <c r="Q7" s="550">
        <f>VLOOKUP(A7,'Eurobserver 2005'!$A$2:$E$27,3,FALSE)</f>
        <v>9.18</v>
      </c>
      <c r="R7" s="443">
        <f t="shared" si="0"/>
        <v>0.9634521415712868</v>
      </c>
      <c r="S7" s="451">
        <f ca="1" t="shared" si="9"/>
        <v>34.78661971830986</v>
      </c>
      <c r="T7" s="451">
        <f ca="1" t="shared" si="1"/>
        <v>0.6778537934521642</v>
      </c>
      <c r="U7" s="1174">
        <f t="shared" si="10"/>
        <v>0.01948604949090174</v>
      </c>
    </row>
    <row r="8" spans="1:21" ht="15.75">
      <c r="A8" s="571" t="s">
        <v>239</v>
      </c>
      <c r="B8" s="845">
        <f ca="1">(INDIRECT(CONCATENATE("'",$A8,"'","!Ao14")))/1000</f>
        <v>13023</v>
      </c>
      <c r="C8" s="857">
        <f ca="1" t="shared" si="3"/>
        <v>0.43021942082416603</v>
      </c>
      <c r="D8" s="850">
        <f ca="1" t="shared" si="4"/>
        <v>10230.6</v>
      </c>
      <c r="E8" s="857">
        <f ca="1" t="shared" si="5"/>
        <v>0.33797149709619234</v>
      </c>
      <c r="F8" s="850">
        <f aca="true" ca="1" t="shared" si="11" ref="F8:F15">(INDIRECT(CONCATENATE("'",$A8,"'","!AO16")))/1000</f>
        <v>7016.999999999999</v>
      </c>
      <c r="G8" s="862">
        <f ca="1" t="shared" si="12" ref="G8:G15">INDIRECT(CONCATENATE("'",$A8,"'","!AP16"))</f>
        <v>0.2318090820796416</v>
      </c>
      <c r="H8" s="853">
        <f t="shared" si="6"/>
        <v>30270.6</v>
      </c>
      <c r="I8" s="1166"/>
      <c r="J8" s="1166"/>
      <c r="K8" s="1166"/>
      <c r="L8" s="563"/>
      <c r="M8" s="563"/>
      <c r="N8" s="563"/>
      <c r="O8" s="561" t="str">
        <f t="shared" si="7"/>
        <v>Germany</v>
      </c>
      <c r="P8" s="550">
        <f ca="1" t="shared" si="8"/>
        <v>6.487998600000001</v>
      </c>
      <c r="Q8" s="550">
        <f>VLOOKUP(A8,'Eurobserver 2005'!$A$2:$E$27,3,FALSE)</f>
        <v>6.263</v>
      </c>
      <c r="R8" s="443">
        <f t="shared" si="0"/>
        <v>1.0359250518920646</v>
      </c>
      <c r="S8" s="451">
        <f ca="1" t="shared" si="9"/>
        <v>13.023</v>
      </c>
      <c r="T8" s="451">
        <f ca="1" t="shared" si="1"/>
        <v>0.3672622623642177</v>
      </c>
      <c r="U8" s="1174">
        <f t="shared" si="10"/>
        <v>0.02820104909500251</v>
      </c>
    </row>
    <row r="9" spans="1:21" ht="16.5" thickBot="1">
      <c r="A9" s="570" t="s">
        <v>280</v>
      </c>
      <c r="B9" s="846">
        <f ca="1">(INDIRECT(CONCATENATE("'",$A9,"'","!Ao14")))/1000</f>
        <v>1484.2</v>
      </c>
      <c r="C9" s="858">
        <f ca="1" t="shared" si="3"/>
        <v>0.4625635783384861</v>
      </c>
      <c r="D9" s="851">
        <f ca="1" t="shared" si="4"/>
        <v>1724.44</v>
      </c>
      <c r="E9" s="858">
        <f ca="1" t="shared" si="5"/>
        <v>0.537436421661514</v>
      </c>
      <c r="F9" s="851">
        <f ca="1" t="shared" si="11"/>
        <v>0</v>
      </c>
      <c r="G9" s="863">
        <v>0</v>
      </c>
      <c r="H9" s="854">
        <f t="shared" si="6"/>
        <v>3208.6400000000003</v>
      </c>
      <c r="I9" s="1166"/>
      <c r="J9" s="1166"/>
      <c r="K9" s="1166"/>
      <c r="L9" s="563"/>
      <c r="M9" s="563"/>
      <c r="N9" s="563"/>
      <c r="O9" s="561" t="str">
        <f t="shared" si="7"/>
        <v>Lithuania</v>
      </c>
      <c r="P9" s="550">
        <f ca="1" t="shared" si="8"/>
        <v>0.6877185066666667</v>
      </c>
      <c r="Q9" s="550">
        <f>VLOOKUP(A9,'Eurobserver 2005'!$A$2:$E$27,3,FALSE)</f>
        <v>0.697</v>
      </c>
      <c r="R9" s="443">
        <f t="shared" si="0"/>
        <v>0.9866836537541847</v>
      </c>
      <c r="S9" s="451">
        <f ca="1" t="shared" si="9"/>
        <v>1.4842</v>
      </c>
      <c r="T9" s="451">
        <f ca="1" t="shared" si="1"/>
        <v>0.8947919995671945</v>
      </c>
      <c r="U9" s="1174">
        <f t="shared" si="10"/>
        <v>0.6028783179943367</v>
      </c>
    </row>
    <row r="10" spans="1:21" ht="15.75">
      <c r="A10" s="888" t="s">
        <v>284</v>
      </c>
      <c r="B10" s="889">
        <f ca="1" t="shared" si="2"/>
        <v>312.5</v>
      </c>
      <c r="C10" s="890">
        <f ca="1" t="shared" si="3"/>
        <v>0.15927624872579002</v>
      </c>
      <c r="D10" s="891">
        <f ca="1">(INDIRECT(CONCATENATE("'",$A10,"'","!Ao15")))/1000</f>
        <v>1387</v>
      </c>
      <c r="E10" s="890">
        <f ca="1" t="shared" si="5"/>
        <v>0.7069317023445464</v>
      </c>
      <c r="F10" s="891">
        <f ca="1" t="shared" si="11"/>
        <v>262.5</v>
      </c>
      <c r="G10" s="892">
        <f ca="1" t="shared" si="12"/>
        <v>0.13379204892966362</v>
      </c>
      <c r="H10" s="893">
        <f t="shared" si="6"/>
        <v>1962</v>
      </c>
      <c r="I10" s="1166"/>
      <c r="J10" s="1166"/>
      <c r="K10" s="1166"/>
      <c r="L10" s="563"/>
      <c r="M10" s="563"/>
      <c r="N10" s="563"/>
      <c r="O10" s="561" t="str">
        <f t="shared" si="7"/>
        <v>Netherlands</v>
      </c>
      <c r="P10" s="550">
        <f ca="1" t="shared" si="8"/>
        <v>0.420522</v>
      </c>
      <c r="Q10" s="550">
        <f>VLOOKUP(A10,'Eurobserver 2005'!$A$2:$E$27,3,FALSE)</f>
        <v>0.72</v>
      </c>
      <c r="R10" s="443">
        <f t="shared" si="0"/>
        <v>0.5840583333333333</v>
      </c>
      <c r="S10" s="451">
        <f ca="1" t="shared" si="9"/>
        <v>0.3125</v>
      </c>
      <c r="T10" s="451">
        <f ca="1" t="shared" si="1"/>
        <v>0.11897066002824128</v>
      </c>
      <c r="U10" s="1174">
        <f t="shared" si="10"/>
        <v>0.3807061120903721</v>
      </c>
    </row>
    <row r="11" spans="1:21" ht="15.75">
      <c r="A11" s="571" t="s">
        <v>127</v>
      </c>
      <c r="B11" s="845">
        <f ca="1" t="shared" si="2"/>
        <v>3128</v>
      </c>
      <c r="C11" s="857">
        <f ca="1" t="shared" si="3"/>
        <v>0.5418514412416852</v>
      </c>
      <c r="D11" s="850">
        <f ca="1" t="shared" si="4"/>
        <v>2386.5</v>
      </c>
      <c r="E11" s="857">
        <f ca="1" t="shared" si="5"/>
        <v>0.41340424057649666</v>
      </c>
      <c r="F11" s="850">
        <f ca="1" t="shared" si="11"/>
        <v>258.3</v>
      </c>
      <c r="G11" s="862">
        <f ca="1" t="shared" si="12"/>
        <v>0.044744318181818184</v>
      </c>
      <c r="H11" s="853">
        <f t="shared" si="6"/>
        <v>5772.8</v>
      </c>
      <c r="I11" s="1166"/>
      <c r="J11" s="1166"/>
      <c r="K11" s="1166"/>
      <c r="L11" s="563"/>
      <c r="M11" s="563"/>
      <c r="N11" s="563"/>
      <c r="O11" s="561" t="str">
        <f t="shared" si="7"/>
        <v>Norway</v>
      </c>
      <c r="P11" s="550">
        <f ca="1" t="shared" si="8"/>
        <v>1.2373034666666667</v>
      </c>
      <c r="Q11" s="550" t="s">
        <v>124</v>
      </c>
      <c r="R11" s="443"/>
      <c r="S11" s="451">
        <f ca="1" t="shared" si="9"/>
        <v>3.128</v>
      </c>
      <c r="T11" s="451">
        <f ca="1" t="shared" si="1"/>
        <v>1.2520115727788115</v>
      </c>
      <c r="U11" s="1174">
        <f t="shared" si="10"/>
        <v>0.400259454213175</v>
      </c>
    </row>
    <row r="12" spans="1:21" ht="16.5" thickBot="1">
      <c r="A12" s="882" t="s">
        <v>281</v>
      </c>
      <c r="B12" s="883">
        <f ca="1" t="shared" si="2"/>
        <v>1591.162</v>
      </c>
      <c r="C12" s="884">
        <f ca="1" t="shared" si="3"/>
        <v>0.7188115654085808</v>
      </c>
      <c r="D12" s="885">
        <f ca="1" t="shared" si="4"/>
        <v>596.381</v>
      </c>
      <c r="E12" s="884">
        <f ca="1" t="shared" si="5"/>
        <v>0.269416665424347</v>
      </c>
      <c r="F12" s="885">
        <f ca="1" t="shared" si="11"/>
        <v>26.058</v>
      </c>
      <c r="G12" s="886">
        <f ca="1" t="shared" si="12"/>
        <v>0.011771769167072114</v>
      </c>
      <c r="H12" s="887">
        <f t="shared" si="6"/>
        <v>2213.601</v>
      </c>
      <c r="I12" s="1166"/>
      <c r="J12" s="1166"/>
      <c r="K12" s="1166"/>
      <c r="L12" s="563"/>
      <c r="M12" s="563"/>
      <c r="N12" s="563"/>
      <c r="O12" s="561" t="str">
        <f t="shared" si="7"/>
        <v>Slovenia</v>
      </c>
      <c r="P12" s="550">
        <f ca="1" t="shared" si="8"/>
        <v>0.47444848100000003</v>
      </c>
      <c r="Q12" s="550">
        <f>VLOOKUP(A12,'Eurobserver 2005'!$A$2:$E$27,3,FALSE)</f>
        <v>0.422</v>
      </c>
      <c r="R12" s="443">
        <f>P12/Q12</f>
        <v>1.1242855</v>
      </c>
      <c r="S12" s="451">
        <f ca="1" t="shared" si="9"/>
        <v>1.591162</v>
      </c>
      <c r="T12" s="451">
        <f ca="1" t="shared" si="1"/>
        <v>1.101103938772759</v>
      </c>
      <c r="U12" s="1174">
        <f t="shared" si="10"/>
        <v>0.6920124655897759</v>
      </c>
    </row>
    <row r="13" spans="1:21" ht="15.75">
      <c r="A13" s="569" t="s">
        <v>1</v>
      </c>
      <c r="B13" s="844">
        <f ca="1" t="shared" si="2"/>
        <v>6923.15396578538</v>
      </c>
      <c r="C13" s="856">
        <f ca="1" t="shared" si="3"/>
        <v>0.17581676112590727</v>
      </c>
      <c r="D13" s="849">
        <f ca="1" t="shared" si="4"/>
        <v>31760.044790046653</v>
      </c>
      <c r="E13" s="856">
        <f ca="1" t="shared" si="5"/>
        <v>0.8065613210100392</v>
      </c>
      <c r="F13" s="849">
        <f ca="1" t="shared" si="11"/>
        <v>693.9</v>
      </c>
      <c r="G13" s="861">
        <f ca="1" t="shared" si="12"/>
        <v>0.017621917864053618</v>
      </c>
      <c r="H13" s="852">
        <f t="shared" si="6"/>
        <v>39377.098755832034</v>
      </c>
      <c r="I13" s="1166"/>
      <c r="J13" s="1166"/>
      <c r="K13" s="1166"/>
      <c r="L13" s="563"/>
      <c r="M13" s="563"/>
      <c r="N13" s="563"/>
      <c r="O13" s="561" t="str">
        <f t="shared" si="7"/>
        <v>Sweden</v>
      </c>
      <c r="P13" s="550">
        <f ca="1" t="shared" si="8"/>
        <v>8.439824833333333</v>
      </c>
      <c r="Q13" s="550">
        <f>VLOOKUP(A13,'Eurobserver 2005'!$A$2:$E$27,3,FALSE)</f>
        <v>8.26</v>
      </c>
      <c r="R13" s="443">
        <f>P13/Q13</f>
        <v>1.0217705609362389</v>
      </c>
      <c r="S13" s="451">
        <f ca="1" t="shared" si="9"/>
        <v>6.923153965785381</v>
      </c>
      <c r="T13" s="451">
        <f ca="1" t="shared" si="1"/>
        <v>4.367180114960461</v>
      </c>
      <c r="U13" s="1174">
        <f t="shared" si="10"/>
        <v>0.6308078856173519</v>
      </c>
    </row>
    <row r="14" spans="1:21" ht="15.75">
      <c r="A14" s="571" t="s">
        <v>271</v>
      </c>
      <c r="B14" s="845">
        <f ca="1" t="shared" si="2"/>
        <v>1934.8</v>
      </c>
      <c r="C14" s="857">
        <f ca="1" t="shared" si="3"/>
        <v>0.5112021652904616</v>
      </c>
      <c r="D14" s="850">
        <f ca="1" t="shared" si="4"/>
        <v>1250.004</v>
      </c>
      <c r="E14" s="857">
        <f ca="1" t="shared" si="5"/>
        <v>0.33026915000089835</v>
      </c>
      <c r="F14" s="850">
        <f ca="1" t="shared" si="11"/>
        <v>600</v>
      </c>
      <c r="G14" s="862">
        <f ca="1" t="shared" si="12"/>
        <v>0.15852868470864012</v>
      </c>
      <c r="H14" s="853">
        <f t="shared" si="6"/>
        <v>3784.804</v>
      </c>
      <c r="I14" s="1166"/>
      <c r="J14" s="1166"/>
      <c r="K14" s="1166"/>
      <c r="L14" s="563"/>
      <c r="M14" s="563"/>
      <c r="N14" s="563"/>
      <c r="O14" s="561" t="str">
        <f t="shared" si="7"/>
        <v>Switzerland</v>
      </c>
      <c r="P14" s="550">
        <f ca="1" t="shared" si="8"/>
        <v>0.8112096573333333</v>
      </c>
      <c r="Q14" s="550" t="s">
        <v>124</v>
      </c>
      <c r="R14" s="443"/>
      <c r="S14" s="451">
        <f ca="1" t="shared" si="9"/>
        <v>1.9348</v>
      </c>
      <c r="T14" s="451">
        <f ca="1" t="shared" si="1"/>
        <v>0.5030352472523018</v>
      </c>
      <c r="U14" s="1174">
        <f t="shared" si="10"/>
        <v>0.25999340875144805</v>
      </c>
    </row>
    <row r="15" spans="1:21" ht="16.5" customHeight="1" thickBot="1">
      <c r="A15" s="570" t="s">
        <v>199</v>
      </c>
      <c r="B15" s="846">
        <f ca="1" t="shared" si="2"/>
        <v>580.1</v>
      </c>
      <c r="C15" s="858">
        <f ca="1" t="shared" si="3"/>
        <v>0.3713590679213879</v>
      </c>
      <c r="D15" s="851">
        <f ca="1" t="shared" si="4"/>
        <v>532</v>
      </c>
      <c r="E15" s="858">
        <f ca="1" t="shared" si="5"/>
        <v>0.34056718519941104</v>
      </c>
      <c r="F15" s="851">
        <f ca="1" t="shared" si="11"/>
        <v>450</v>
      </c>
      <c r="G15" s="863">
        <f ca="1" t="shared" si="12"/>
        <v>0.28807374687920106</v>
      </c>
      <c r="H15" s="854">
        <f t="shared" si="6"/>
        <v>1562.1</v>
      </c>
      <c r="I15" s="1166"/>
      <c r="J15" s="1166"/>
      <c r="K15" s="1166"/>
      <c r="L15" s="563"/>
      <c r="M15" s="563"/>
      <c r="N15" s="563"/>
      <c r="O15" s="561" t="str">
        <f t="shared" si="7"/>
        <v>United Kingdom</v>
      </c>
      <c r="P15" s="550">
        <f ca="1" t="shared" si="8"/>
        <v>0.33481010000000005</v>
      </c>
      <c r="Q15" s="550">
        <f>VLOOKUP(A15,'Eurobserver 2005'!$A$2:$E$27,3,FALSE)</f>
        <v>1.231</v>
      </c>
      <c r="R15" s="443">
        <f>P15/Q15</f>
        <v>0.2719822095857027</v>
      </c>
      <c r="S15" s="451">
        <f ca="1" t="shared" si="9"/>
        <v>0.5801</v>
      </c>
      <c r="T15" s="451">
        <f ca="1" t="shared" si="1"/>
        <v>0.025773334928471944</v>
      </c>
      <c r="U15" s="1174">
        <f t="shared" si="10"/>
        <v>0.04442912416561273</v>
      </c>
    </row>
    <row r="16" spans="1:21" ht="16.5" thickBot="1">
      <c r="A16" s="440"/>
      <c r="B16" s="847"/>
      <c r="C16" s="859"/>
      <c r="D16" s="847"/>
      <c r="E16" s="685"/>
      <c r="F16" s="847"/>
      <c r="G16" s="859"/>
      <c r="H16" s="855"/>
      <c r="I16" s="1167"/>
      <c r="J16" s="1168"/>
      <c r="K16" s="1168"/>
      <c r="L16" s="564"/>
      <c r="M16" s="564"/>
      <c r="N16" s="564"/>
      <c r="O16" s="561"/>
      <c r="P16" s="550"/>
      <c r="Q16" s="554"/>
      <c r="R16" s="443"/>
      <c r="S16" s="449"/>
      <c r="U16" s="514"/>
    </row>
    <row r="17" spans="1:19" s="880" customFormat="1" ht="15.75" thickBot="1">
      <c r="A17" s="864" t="s">
        <v>371</v>
      </c>
      <c r="B17" s="871">
        <f>SUM(B4:B15)</f>
        <v>82531.38801885792</v>
      </c>
      <c r="C17" s="872">
        <f>B17/H17</f>
        <v>0.44681159077209703</v>
      </c>
      <c r="D17" s="873">
        <f>SUM(D4:D15)</f>
        <v>90581.42706477636</v>
      </c>
      <c r="E17" s="872">
        <f>D17/H17</f>
        <v>0.49039320060837477</v>
      </c>
      <c r="F17" s="873">
        <f>SUM(F4:F15)</f>
        <v>11599.018099212359</v>
      </c>
      <c r="G17" s="874">
        <f>F17/H17</f>
        <v>0.06279520861952827</v>
      </c>
      <c r="H17" s="875">
        <f>SUM(H4:H15)</f>
        <v>184711.83318284663</v>
      </c>
      <c r="I17" s="1169"/>
      <c r="J17" s="1169"/>
      <c r="K17" s="1169"/>
      <c r="L17" s="869"/>
      <c r="M17" s="869"/>
      <c r="N17" s="869"/>
      <c r="O17" s="561" t="str">
        <f t="shared" si="7"/>
        <v>Total Europe</v>
      </c>
      <c r="P17" s="876">
        <f>SUM(P4:P15)-P14-P11</f>
        <v>37.54138978819012</v>
      </c>
      <c r="Q17" s="877">
        <f>SUM(Q4:Q15)</f>
        <v>38.510999999999996</v>
      </c>
      <c r="R17" s="878">
        <f>P17/Q17</f>
        <v>0.9748225127415576</v>
      </c>
      <c r="S17" s="879"/>
    </row>
    <row r="18" spans="1:19" ht="24.75" customHeight="1" thickBot="1">
      <c r="A18" s="438"/>
      <c r="B18" s="848"/>
      <c r="C18" s="860"/>
      <c r="D18" s="848"/>
      <c r="E18" s="860"/>
      <c r="F18" s="848"/>
      <c r="G18" s="860"/>
      <c r="H18" s="855"/>
      <c r="I18" s="1168"/>
      <c r="J18" s="1168"/>
      <c r="K18" s="1168"/>
      <c r="L18" s="441"/>
      <c r="M18" s="441"/>
      <c r="N18" s="441"/>
      <c r="O18" s="561"/>
      <c r="P18" s="550"/>
      <c r="Q18" s="554"/>
      <c r="R18" s="449"/>
      <c r="S18" s="449"/>
    </row>
    <row r="19" spans="1:21" ht="15.75">
      <c r="A19" s="569" t="s">
        <v>256</v>
      </c>
      <c r="B19" s="844">
        <f ca="1">(INDIRECT(CONCATENATE("'",$A19,"'","!Ao14")))/1000</f>
        <v>3080</v>
      </c>
      <c r="C19" s="856">
        <f ca="1">INDIRECT(CONCATENATE("'",$A19,"'","!AP14"))</f>
        <v>0.06442218623074981</v>
      </c>
      <c r="D19" s="849">
        <f ca="1">(INDIRECT(CONCATENATE("'",$A19,"'","!Ao15")))/1000</f>
        <v>44729.61622395024</v>
      </c>
      <c r="E19" s="856">
        <f ca="1">INDIRECT(CONCATENATE("'",$A19,"'","!AP15"))</f>
        <v>0.9355778137692502</v>
      </c>
      <c r="F19" s="849">
        <v>0</v>
      </c>
      <c r="G19" s="861">
        <v>0</v>
      </c>
      <c r="H19" s="852">
        <f t="shared" si="6"/>
        <v>47809.61622395024</v>
      </c>
      <c r="I19" s="1166"/>
      <c r="J19" s="1166"/>
      <c r="K19" s="1166"/>
      <c r="L19" s="563"/>
      <c r="M19" s="563"/>
      <c r="N19" s="563"/>
      <c r="O19" s="561" t="str">
        <f t="shared" si="7"/>
        <v>Canada</v>
      </c>
      <c r="P19" s="550">
        <f ca="1">INDIRECT(CONCATENATE("'",$A19,"'","!An27"))</f>
        <v>10.247194410666667</v>
      </c>
      <c r="Q19" s="553"/>
      <c r="R19" s="556"/>
      <c r="S19" s="453">
        <f ca="1">INDIRECT(CONCATENATE("'",$A19,"'","!AL11"))</f>
        <v>1.4444458879806223</v>
      </c>
      <c r="T19" s="451">
        <f ca="1">INDIRECT(CONCATENATE("'",$A19,"'","!AO11"))</f>
        <v>0</v>
      </c>
      <c r="U19" s="514" t="e">
        <f>S19/T19</f>
        <v>#DIV/0!</v>
      </c>
    </row>
    <row r="20" spans="1:21" ht="16.5" thickBot="1">
      <c r="A20" s="570" t="s">
        <v>285</v>
      </c>
      <c r="B20" s="846">
        <f ca="1">(INDIRECT(CONCATENATE("'",$A20,"'","!Ao14")))/1000</f>
        <v>46738.33059</v>
      </c>
      <c r="C20" s="858">
        <f ca="1">INDIRECT(CONCATENATE("'",$A20,"'","!AP14"))</f>
        <v>0.21997099183210292</v>
      </c>
      <c r="D20" s="851">
        <f ca="1">(INDIRECT(CONCATENATE("'",$A20,"'","!Ao15")))/1000</f>
        <v>163230.83732546313</v>
      </c>
      <c r="E20" s="858">
        <f ca="1">INDIRECT(CONCATENATE("'",$A20,"'","!AP15"))</f>
        <v>0.768235594442672</v>
      </c>
      <c r="F20" s="851">
        <f ca="1">(INDIRECT(CONCATENATE("'",$A20,"'","!AO16")))/1000</f>
        <v>2505.8052649729857</v>
      </c>
      <c r="G20" s="863">
        <f ca="1">INDIRECT(CONCATENATE("'",$A20,"'","!AP16"))</f>
        <v>0.011793413725225079</v>
      </c>
      <c r="H20" s="854">
        <f t="shared" si="6"/>
        <v>212474.97318043612</v>
      </c>
      <c r="I20" s="1166"/>
      <c r="J20" s="1166"/>
      <c r="K20" s="1166"/>
      <c r="L20" s="559"/>
      <c r="M20" s="559"/>
      <c r="N20" s="559"/>
      <c r="O20" s="561" t="str">
        <f t="shared" si="7"/>
        <v>USA</v>
      </c>
      <c r="P20" s="550">
        <f ca="1">INDIRECT(CONCATENATE("'",$A20,"'","!An27"))</f>
        <v>45.540469251673464</v>
      </c>
      <c r="Q20" s="554"/>
      <c r="R20" s="449"/>
      <c r="S20" s="454">
        <f ca="1">INDIRECT(CONCATENATE("'",$A20,"'","!AL11"))</f>
        <v>0.7119420062487594</v>
      </c>
      <c r="T20" s="451">
        <f ca="1">INDIRECT(CONCATENATE("'",$A20,"'","!AO11"))</f>
        <v>0</v>
      </c>
      <c r="U20" s="514" t="e">
        <f>S20/T20</f>
        <v>#DIV/0!</v>
      </c>
    </row>
    <row r="21" spans="1:19" ht="16.5" thickBot="1">
      <c r="A21" s="438"/>
      <c r="B21" s="847"/>
      <c r="C21" s="859"/>
      <c r="D21" s="847"/>
      <c r="E21" s="859"/>
      <c r="F21" s="847"/>
      <c r="G21" s="859"/>
      <c r="H21" s="855"/>
      <c r="I21" s="1168"/>
      <c r="J21" s="1168"/>
      <c r="K21" s="1168"/>
      <c r="L21" s="441"/>
      <c r="M21" s="441"/>
      <c r="N21" s="441"/>
      <c r="P21" s="441"/>
      <c r="Q21" s="441"/>
      <c r="R21" s="441"/>
      <c r="S21" s="449"/>
    </row>
    <row r="22" spans="1:19" s="870" customFormat="1" ht="30" thickBot="1">
      <c r="A22" s="758" t="s">
        <v>287</v>
      </c>
      <c r="B22" s="865">
        <f>SUM(B19:B20)</f>
        <v>49818.33059</v>
      </c>
      <c r="C22" s="866">
        <f>B22/H22</f>
        <v>0.19139946281107204</v>
      </c>
      <c r="D22" s="867">
        <f>SUM(D19:D20)</f>
        <v>207960.45354941336</v>
      </c>
      <c r="E22" s="866">
        <f>D22/H22</f>
        <v>0.7989733622927612</v>
      </c>
      <c r="F22" s="867">
        <f>SUM(F19:F20)</f>
        <v>2505.8052649729857</v>
      </c>
      <c r="G22" s="866">
        <f>F22/H22</f>
        <v>0.009627174896166778</v>
      </c>
      <c r="H22" s="868">
        <f>F22+D22+B22</f>
        <v>260284.58940438635</v>
      </c>
      <c r="I22" s="1169"/>
      <c r="J22" s="1169"/>
      <c r="K22" s="1169"/>
      <c r="L22" s="869"/>
      <c r="M22" s="869"/>
      <c r="N22" s="869"/>
      <c r="O22" s="869"/>
      <c r="P22" s="550"/>
      <c r="Q22" s="550"/>
      <c r="R22" s="869"/>
      <c r="S22" s="869"/>
    </row>
    <row r="23" spans="1:19" ht="15.75">
      <c r="A23" s="1171"/>
      <c r="B23" s="1172"/>
      <c r="C23" s="645"/>
      <c r="D23" s="1172"/>
      <c r="E23" s="645"/>
      <c r="F23" s="1172"/>
      <c r="G23" s="645"/>
      <c r="H23" s="1170"/>
      <c r="I23" s="1170"/>
      <c r="J23" s="1170"/>
      <c r="K23" s="1170"/>
      <c r="L23" s="442"/>
      <c r="M23" s="442"/>
      <c r="N23" s="442"/>
      <c r="O23" s="442"/>
      <c r="P23" s="558"/>
      <c r="Q23" s="442"/>
      <c r="R23" s="442"/>
      <c r="S23" s="442"/>
    </row>
    <row r="24" spans="1:19" ht="21.75" customHeight="1" thickBot="1">
      <c r="A24" s="1510" t="s">
        <v>544</v>
      </c>
      <c r="B24" s="601"/>
      <c r="C24" s="601"/>
      <c r="D24" s="603"/>
      <c r="E24" s="602"/>
      <c r="F24" s="568"/>
      <c r="G24" s="442"/>
      <c r="H24" s="442"/>
      <c r="I24" s="442"/>
      <c r="J24" s="442"/>
      <c r="K24" s="442"/>
      <c r="L24" s="442"/>
      <c r="M24" s="442"/>
      <c r="N24" s="442"/>
      <c r="O24" s="442"/>
      <c r="P24" s="558"/>
      <c r="Q24" s="442"/>
      <c r="R24" s="442"/>
      <c r="S24" s="442"/>
    </row>
    <row r="25" spans="1:19" ht="16.5" thickBot="1">
      <c r="A25" s="1252"/>
      <c r="B25" s="1325" t="s">
        <v>73</v>
      </c>
      <c r="C25" s="1261"/>
      <c r="D25" s="1268" t="s">
        <v>76</v>
      </c>
      <c r="E25" s="1261"/>
      <c r="F25" s="1268" t="s">
        <v>79</v>
      </c>
      <c r="G25" s="1262"/>
      <c r="H25" s="442"/>
      <c r="I25" s="442"/>
      <c r="J25" s="442"/>
      <c r="K25" s="442"/>
      <c r="L25" s="442"/>
      <c r="M25" s="442"/>
      <c r="N25" s="442"/>
      <c r="O25" s="442"/>
      <c r="P25" s="558"/>
      <c r="Q25" s="442"/>
      <c r="R25" s="442"/>
      <c r="S25" s="442"/>
    </row>
    <row r="26" spans="1:19" ht="16.5" thickBot="1">
      <c r="A26" s="1253"/>
      <c r="B26" s="1184" t="s">
        <v>286</v>
      </c>
      <c r="C26" s="1185" t="s">
        <v>70</v>
      </c>
      <c r="D26" s="1186" t="s">
        <v>286</v>
      </c>
      <c r="E26" s="1185" t="s">
        <v>70</v>
      </c>
      <c r="F26" s="1186" t="s">
        <v>286</v>
      </c>
      <c r="G26" s="1187" t="s">
        <v>70</v>
      </c>
      <c r="H26" s="442"/>
      <c r="I26" s="442"/>
      <c r="J26" s="442"/>
      <c r="K26" s="442"/>
      <c r="L26" s="442"/>
      <c r="M26" s="442"/>
      <c r="N26" s="442"/>
      <c r="O26" s="442"/>
      <c r="P26" s="558"/>
      <c r="Q26" s="442"/>
      <c r="R26" s="442"/>
      <c r="S26" s="442"/>
    </row>
    <row r="27" spans="1:19" ht="16.5" customHeight="1">
      <c r="A27" s="1178" t="s">
        <v>242</v>
      </c>
      <c r="B27" s="1189">
        <f aca="true" ca="1" t="shared" si="13" ref="B27:B40">(INDIRECT(CONCATENATE("'",$A27,"'","!Ao14")))/1000</f>
        <v>34786.619718309856</v>
      </c>
      <c r="C27" s="1190">
        <f ca="1" t="shared" si="14" ref="C27:C40">INDIRECT(CONCATENATE("'",$A27,"'","!AP14"))</f>
        <v>0.8430030000100689</v>
      </c>
      <c r="D27" s="1191">
        <f aca="true" ca="1" t="shared" si="15" ref="D27:D40">(INDIRECT(CONCATENATE("'",$A27,"'","!Ao15")))/1000</f>
        <v>4978.5</v>
      </c>
      <c r="E27" s="1192">
        <f ca="1" t="shared" si="16" ref="E27:E40">INDIRECT(CONCATENATE("'",$A27,"'","!AP15"))</f>
        <v>0.12064668741990772</v>
      </c>
      <c r="F27" s="1191">
        <f aca="true" ca="1" t="shared" si="17" ref="F27:F40">(INDIRECT(CONCATENATE("'",$A27,"'","!AO16")))/1000</f>
        <v>1500</v>
      </c>
      <c r="G27" s="1193">
        <f ca="1" t="shared" si="18" ref="G27:G40">INDIRECT(CONCATENATE("'",$A27,"'","!AP16"))</f>
        <v>0.03635031257002342</v>
      </c>
      <c r="H27" s="1257"/>
      <c r="I27" s="1251"/>
      <c r="J27" s="442"/>
      <c r="K27" s="442"/>
      <c r="L27" s="442"/>
      <c r="M27" s="442"/>
      <c r="N27" s="442"/>
      <c r="O27" s="442"/>
      <c r="P27" s="558"/>
      <c r="Q27" s="442"/>
      <c r="R27" s="442"/>
      <c r="S27" s="442"/>
    </row>
    <row r="28" spans="1:19" ht="16.5" customHeight="1">
      <c r="A28" s="1179" t="s">
        <v>238</v>
      </c>
      <c r="B28" s="1194">
        <f ca="1" t="shared" si="13"/>
        <v>5036</v>
      </c>
      <c r="C28" s="578">
        <f ca="1" t="shared" si="14"/>
        <v>0.634336818239073</v>
      </c>
      <c r="D28" s="572">
        <f ca="1" t="shared" si="15"/>
        <v>2903</v>
      </c>
      <c r="E28" s="573">
        <f ca="1" t="shared" si="16"/>
        <v>0.36566318176092705</v>
      </c>
      <c r="F28" s="572">
        <f ca="1" t="shared" si="17"/>
        <v>0</v>
      </c>
      <c r="G28" s="1195">
        <f ca="1" t="shared" si="18"/>
        <v>0</v>
      </c>
      <c r="H28" s="1251"/>
      <c r="I28" s="1251"/>
      <c r="J28" s="442"/>
      <c r="K28" s="442"/>
      <c r="L28" s="442"/>
      <c r="M28" s="442"/>
      <c r="N28" s="442"/>
      <c r="O28" s="442"/>
      <c r="P28" s="558"/>
      <c r="Q28" s="442"/>
      <c r="R28" s="442"/>
      <c r="S28" s="442"/>
    </row>
    <row r="29" spans="1:19" ht="16.5" customHeight="1">
      <c r="A29" s="1179" t="s">
        <v>281</v>
      </c>
      <c r="B29" s="1194">
        <f ca="1" t="shared" si="13"/>
        <v>1591.162</v>
      </c>
      <c r="C29" s="578">
        <f ca="1" t="shared" si="14"/>
        <v>0.7188115654085808</v>
      </c>
      <c r="D29" s="572">
        <f ca="1" t="shared" si="15"/>
        <v>596.381</v>
      </c>
      <c r="E29" s="573">
        <f ca="1" t="shared" si="16"/>
        <v>0.269416665424347</v>
      </c>
      <c r="F29" s="572">
        <f ca="1" t="shared" si="17"/>
        <v>26.058</v>
      </c>
      <c r="G29" s="1195">
        <f ca="1" t="shared" si="18"/>
        <v>0.011771769167072114</v>
      </c>
      <c r="H29" s="1251"/>
      <c r="I29" s="1251"/>
      <c r="J29" s="442"/>
      <c r="K29" s="442"/>
      <c r="L29" s="442"/>
      <c r="M29" s="442"/>
      <c r="N29" s="442"/>
      <c r="O29" s="442"/>
      <c r="P29" s="558"/>
      <c r="Q29" s="442"/>
      <c r="R29" s="442"/>
      <c r="S29" s="442"/>
    </row>
    <row r="30" spans="1:19" ht="16.5" customHeight="1">
      <c r="A30" s="1179" t="s">
        <v>127</v>
      </c>
      <c r="B30" s="1194">
        <f ca="1" t="shared" si="13"/>
        <v>3128</v>
      </c>
      <c r="C30" s="578">
        <f ca="1" t="shared" si="14"/>
        <v>0.5418514412416852</v>
      </c>
      <c r="D30" s="572">
        <f ca="1" t="shared" si="15"/>
        <v>2386.5</v>
      </c>
      <c r="E30" s="573">
        <f ca="1" t="shared" si="16"/>
        <v>0.41340424057649666</v>
      </c>
      <c r="F30" s="572">
        <f ca="1" t="shared" si="17"/>
        <v>258.3</v>
      </c>
      <c r="G30" s="1195">
        <f ca="1" t="shared" si="18"/>
        <v>0.044744318181818184</v>
      </c>
      <c r="H30" s="1251"/>
      <c r="I30" s="1251"/>
      <c r="J30" s="442"/>
      <c r="K30" s="442"/>
      <c r="L30" s="442"/>
      <c r="M30" s="442"/>
      <c r="N30" s="442"/>
      <c r="O30" s="442"/>
      <c r="P30" s="558"/>
      <c r="Q30" s="442"/>
      <c r="R30" s="442"/>
      <c r="S30" s="442"/>
    </row>
    <row r="31" spans="1:19" ht="16.5" customHeight="1">
      <c r="A31" s="1179" t="s">
        <v>271</v>
      </c>
      <c r="B31" s="1194">
        <f ca="1" t="shared" si="13"/>
        <v>1934.8</v>
      </c>
      <c r="C31" s="578">
        <f ca="1" t="shared" si="14"/>
        <v>0.5112021652904616</v>
      </c>
      <c r="D31" s="572">
        <f ca="1" t="shared" si="15"/>
        <v>1250.004</v>
      </c>
      <c r="E31" s="573">
        <f ca="1" t="shared" si="16"/>
        <v>0.33026915000089835</v>
      </c>
      <c r="F31" s="572">
        <f ca="1" t="shared" si="17"/>
        <v>600</v>
      </c>
      <c r="G31" s="1195">
        <f ca="1" t="shared" si="18"/>
        <v>0.15852868470864012</v>
      </c>
      <c r="H31" s="1251"/>
      <c r="I31" s="1251"/>
      <c r="J31" s="442"/>
      <c r="K31" s="442"/>
      <c r="L31" s="442"/>
      <c r="M31" s="442"/>
      <c r="N31" s="442"/>
      <c r="O31" s="442"/>
      <c r="P31" s="558"/>
      <c r="Q31" s="442"/>
      <c r="R31" s="442"/>
      <c r="S31" s="442"/>
    </row>
    <row r="32" spans="1:19" ht="16.5" customHeight="1">
      <c r="A32" s="1180" t="s">
        <v>240</v>
      </c>
      <c r="B32" s="1194">
        <f ca="1" t="shared" si="13"/>
        <v>6929.323</v>
      </c>
      <c r="C32" s="1176">
        <f ca="1" t="shared" si="14"/>
        <v>0.47977143268801553</v>
      </c>
      <c r="D32" s="572">
        <f ca="1" t="shared" si="15"/>
        <v>7025.394062830482</v>
      </c>
      <c r="E32" s="1176">
        <f ca="1" t="shared" si="16"/>
        <v>0.4864231866117453</v>
      </c>
      <c r="F32" s="572">
        <f ca="1" t="shared" si="17"/>
        <v>488.25</v>
      </c>
      <c r="G32" s="1195">
        <f ca="1" t="shared" si="18"/>
        <v>0.033805380700239196</v>
      </c>
      <c r="H32" s="1177"/>
      <c r="I32" s="442"/>
      <c r="J32" s="442"/>
      <c r="K32" s="442"/>
      <c r="L32" s="442"/>
      <c r="M32" s="442"/>
      <c r="N32" s="442"/>
      <c r="O32" s="442"/>
      <c r="P32" s="558"/>
      <c r="Q32" s="442"/>
      <c r="R32" s="442"/>
      <c r="S32" s="442"/>
    </row>
    <row r="33" spans="1:19" ht="16.5" customHeight="1">
      <c r="A33" s="1180" t="s">
        <v>280</v>
      </c>
      <c r="B33" s="1194">
        <f ca="1" t="shared" si="13"/>
        <v>1484.2</v>
      </c>
      <c r="C33" s="1176">
        <f ca="1" t="shared" si="14"/>
        <v>0.4625635783384861</v>
      </c>
      <c r="D33" s="572">
        <f ca="1" t="shared" si="15"/>
        <v>1724.44</v>
      </c>
      <c r="E33" s="1176">
        <f ca="1" t="shared" si="16"/>
        <v>0.537436421661514</v>
      </c>
      <c r="F33" s="572">
        <f ca="1" t="shared" si="17"/>
        <v>0</v>
      </c>
      <c r="G33" s="1195">
        <f ca="1" t="shared" si="18"/>
        <v>0</v>
      </c>
      <c r="H33" s="1257"/>
      <c r="I33" s="442"/>
      <c r="J33" s="442"/>
      <c r="K33" s="442"/>
      <c r="L33" s="442"/>
      <c r="M33" s="442"/>
      <c r="N33" s="442"/>
      <c r="O33" s="442"/>
      <c r="P33" s="558"/>
      <c r="Q33" s="442"/>
      <c r="R33" s="442"/>
      <c r="S33" s="442"/>
    </row>
    <row r="34" spans="1:19" ht="16.5" customHeight="1">
      <c r="A34" s="1181" t="s">
        <v>284</v>
      </c>
      <c r="B34" s="1194">
        <f ca="1" t="shared" si="13"/>
        <v>312.5</v>
      </c>
      <c r="C34" s="573">
        <f ca="1" t="shared" si="14"/>
        <v>0.15927624872579002</v>
      </c>
      <c r="D34" s="572">
        <f ca="1" t="shared" si="15"/>
        <v>1387</v>
      </c>
      <c r="E34" s="576">
        <f ca="1" t="shared" si="16"/>
        <v>0.7069317023445464</v>
      </c>
      <c r="F34" s="572">
        <f ca="1" t="shared" si="17"/>
        <v>262.5</v>
      </c>
      <c r="G34" s="1195">
        <f ca="1" t="shared" si="18"/>
        <v>0.13379204892966362</v>
      </c>
      <c r="H34" s="1257"/>
      <c r="I34" s="442"/>
      <c r="J34" s="442"/>
      <c r="K34" s="442"/>
      <c r="L34" s="442"/>
      <c r="M34" s="442"/>
      <c r="N34" s="442"/>
      <c r="O34" s="442"/>
      <c r="P34" s="558"/>
      <c r="Q34" s="442"/>
      <c r="R34" s="442"/>
      <c r="S34" s="442"/>
    </row>
    <row r="35" spans="1:19" ht="16.5" customHeight="1">
      <c r="A35" s="1181" t="s">
        <v>285</v>
      </c>
      <c r="B35" s="1194">
        <f ca="1" t="shared" si="13"/>
        <v>46738.33059</v>
      </c>
      <c r="C35" s="573">
        <f ca="1" t="shared" si="14"/>
        <v>0.21997099183210292</v>
      </c>
      <c r="D35" s="572">
        <f ca="1" t="shared" si="15"/>
        <v>163230.83732546313</v>
      </c>
      <c r="E35" s="576">
        <f ca="1" t="shared" si="16"/>
        <v>0.768235594442672</v>
      </c>
      <c r="F35" s="572">
        <f ca="1" t="shared" si="17"/>
        <v>2505.8052649729857</v>
      </c>
      <c r="G35" s="1195">
        <f ca="1" t="shared" si="18"/>
        <v>0.011793413725225079</v>
      </c>
      <c r="H35" s="1257"/>
      <c r="I35" s="442"/>
      <c r="J35" s="442"/>
      <c r="K35" s="442"/>
      <c r="L35" s="442"/>
      <c r="M35" s="442"/>
      <c r="N35" s="442"/>
      <c r="O35" s="442"/>
      <c r="P35" s="558"/>
      <c r="Q35" s="442"/>
      <c r="R35" s="442"/>
      <c r="S35" s="442"/>
    </row>
    <row r="36" spans="1:19" ht="16.5" customHeight="1">
      <c r="A36" s="1181" t="s">
        <v>122</v>
      </c>
      <c r="B36" s="1194">
        <f ca="1" t="shared" si="13"/>
        <v>6802.529334762668</v>
      </c>
      <c r="C36" s="573">
        <f ca="1" t="shared" si="14"/>
        <v>0.20668149727340832</v>
      </c>
      <c r="D36" s="572">
        <f ca="1" t="shared" si="15"/>
        <v>25807.56321189923</v>
      </c>
      <c r="E36" s="576">
        <f ca="1" t="shared" si="16"/>
        <v>0.7841121358133119</v>
      </c>
      <c r="F36" s="572">
        <f ca="1" t="shared" si="17"/>
        <v>303.01009921235993</v>
      </c>
      <c r="G36" s="1195">
        <f ca="1" t="shared" si="18"/>
        <v>0.00920636691327984</v>
      </c>
      <c r="H36" s="1257"/>
      <c r="I36" s="442"/>
      <c r="J36" s="442"/>
      <c r="K36" s="442"/>
      <c r="L36" s="442"/>
      <c r="M36" s="442"/>
      <c r="N36" s="442"/>
      <c r="O36" s="442"/>
      <c r="P36" s="558"/>
      <c r="Q36" s="442"/>
      <c r="R36" s="442"/>
      <c r="S36" s="442"/>
    </row>
    <row r="37" spans="1:19" ht="16.5" customHeight="1">
      <c r="A37" s="1181" t="s">
        <v>1</v>
      </c>
      <c r="B37" s="1194">
        <f ca="1" t="shared" si="13"/>
        <v>6923.15396578538</v>
      </c>
      <c r="C37" s="573">
        <f ca="1" t="shared" si="14"/>
        <v>0.17581676112590727</v>
      </c>
      <c r="D37" s="572">
        <f ca="1" t="shared" si="15"/>
        <v>31760.044790046653</v>
      </c>
      <c r="E37" s="576">
        <f ca="1" t="shared" si="16"/>
        <v>0.8065613210100392</v>
      </c>
      <c r="F37" s="572">
        <f ca="1" t="shared" si="17"/>
        <v>693.9</v>
      </c>
      <c r="G37" s="1195">
        <f ca="1" t="shared" si="18"/>
        <v>0.017621917864053618</v>
      </c>
      <c r="H37" s="1256"/>
      <c r="I37" s="442"/>
      <c r="J37" s="442"/>
      <c r="K37" s="442"/>
      <c r="L37" s="442"/>
      <c r="M37" s="442"/>
      <c r="N37" s="442"/>
      <c r="O37" s="442"/>
      <c r="P37" s="558"/>
      <c r="Q37" s="442"/>
      <c r="R37" s="442"/>
      <c r="S37" s="442"/>
    </row>
    <row r="38" spans="1:19" ht="16.5" customHeight="1">
      <c r="A38" s="1181" t="s">
        <v>256</v>
      </c>
      <c r="B38" s="1194">
        <f ca="1" t="shared" si="13"/>
        <v>3080</v>
      </c>
      <c r="C38" s="573">
        <f ca="1" t="shared" si="14"/>
        <v>0.06442218623074981</v>
      </c>
      <c r="D38" s="572">
        <f ca="1" t="shared" si="15"/>
        <v>44729.61622395024</v>
      </c>
      <c r="E38" s="576">
        <f ca="1" t="shared" si="16"/>
        <v>0.9355778137692502</v>
      </c>
      <c r="F38" s="572">
        <f ca="1" t="shared" si="17"/>
        <v>0</v>
      </c>
      <c r="G38" s="1195">
        <f ca="1" t="shared" si="18"/>
        <v>0</v>
      </c>
      <c r="H38" s="1256"/>
      <c r="I38" s="442"/>
      <c r="J38" s="442"/>
      <c r="K38" s="442"/>
      <c r="L38" s="442"/>
      <c r="M38" s="442"/>
      <c r="N38" s="442"/>
      <c r="O38" s="442"/>
      <c r="P38" s="558"/>
      <c r="Q38" s="442"/>
      <c r="R38" s="442"/>
      <c r="S38" s="442"/>
    </row>
    <row r="39" spans="1:19" ht="16.5" customHeight="1">
      <c r="A39" s="1182" t="s">
        <v>239</v>
      </c>
      <c r="B39" s="1194">
        <f ca="1" t="shared" si="13"/>
        <v>13023</v>
      </c>
      <c r="C39" s="573">
        <f ca="1" t="shared" si="14"/>
        <v>0.43021942082416603</v>
      </c>
      <c r="D39" s="572">
        <f ca="1" t="shared" si="15"/>
        <v>10230.6</v>
      </c>
      <c r="E39" s="573">
        <f ca="1" t="shared" si="16"/>
        <v>0.33797149709619234</v>
      </c>
      <c r="F39" s="572">
        <f ca="1" t="shared" si="17"/>
        <v>7016.999999999999</v>
      </c>
      <c r="G39" s="1199">
        <f ca="1" t="shared" si="18"/>
        <v>0.2318090820796416</v>
      </c>
      <c r="H39" s="1256"/>
      <c r="I39" s="442"/>
      <c r="J39" s="442"/>
      <c r="K39" s="442"/>
      <c r="L39" s="442"/>
      <c r="M39" s="442"/>
      <c r="N39" s="442"/>
      <c r="O39" s="442"/>
      <c r="P39" s="558"/>
      <c r="Q39" s="442"/>
      <c r="R39" s="442"/>
      <c r="S39" s="442"/>
    </row>
    <row r="40" spans="1:19" ht="16.5" customHeight="1" thickBot="1">
      <c r="A40" s="1183" t="s">
        <v>199</v>
      </c>
      <c r="B40" s="1196">
        <f ca="1" t="shared" si="13"/>
        <v>580.1</v>
      </c>
      <c r="C40" s="1197">
        <f ca="1" t="shared" si="14"/>
        <v>0.3713590679213879</v>
      </c>
      <c r="D40" s="1198">
        <f ca="1" t="shared" si="15"/>
        <v>532</v>
      </c>
      <c r="E40" s="1197">
        <f ca="1" t="shared" si="16"/>
        <v>0.34056718519941104</v>
      </c>
      <c r="F40" s="1198">
        <f ca="1" t="shared" si="17"/>
        <v>450</v>
      </c>
      <c r="G40" s="1200">
        <f ca="1" t="shared" si="18"/>
        <v>0.28807374687920106</v>
      </c>
      <c r="H40" s="442"/>
      <c r="I40" s="442"/>
      <c r="J40" s="442"/>
      <c r="K40" s="442"/>
      <c r="L40" s="442"/>
      <c r="M40" s="442"/>
      <c r="N40" s="442"/>
      <c r="O40" s="442"/>
      <c r="P40" s="558"/>
      <c r="Q40" s="442"/>
      <c r="R40" s="442"/>
      <c r="S40" s="442"/>
    </row>
    <row r="41" spans="1:19" ht="16.5" customHeight="1">
      <c r="A41" s="438"/>
      <c r="B41" s="606"/>
      <c r="C41" s="608"/>
      <c r="D41" s="606"/>
      <c r="E41" s="609"/>
      <c r="F41" s="607"/>
      <c r="G41" s="1188"/>
      <c r="H41" s="442"/>
      <c r="I41" s="442"/>
      <c r="J41" s="442"/>
      <c r="K41" s="442"/>
      <c r="L41" s="442"/>
      <c r="M41" s="442"/>
      <c r="N41" s="442"/>
      <c r="O41" s="442"/>
      <c r="P41" s="558"/>
      <c r="Q41" s="442"/>
      <c r="R41" s="442"/>
      <c r="S41" s="442"/>
    </row>
    <row r="42" spans="1:19" ht="16.5" customHeight="1">
      <c r="A42" s="438"/>
      <c r="B42" s="606"/>
      <c r="C42" s="608"/>
      <c r="D42" s="606"/>
      <c r="E42" s="609"/>
      <c r="F42" s="607"/>
      <c r="G42" s="1260" t="s">
        <v>477</v>
      </c>
      <c r="H42" s="1255"/>
      <c r="I42" s="442"/>
      <c r="J42" s="442"/>
      <c r="K42" s="442"/>
      <c r="L42" s="442"/>
      <c r="M42" s="442"/>
      <c r="N42" s="442"/>
      <c r="O42" s="442"/>
      <c r="P42" s="558"/>
      <c r="Q42" s="442"/>
      <c r="R42" s="442"/>
      <c r="S42" s="442"/>
    </row>
    <row r="43" spans="1:19" ht="72.75" customHeight="1">
      <c r="A43" s="438"/>
      <c r="B43" s="606"/>
      <c r="C43" s="608"/>
      <c r="D43" s="606"/>
      <c r="E43" s="609"/>
      <c r="F43" s="607"/>
      <c r="G43" s="1260"/>
      <c r="H43" s="1255"/>
      <c r="I43" s="442"/>
      <c r="J43" s="442"/>
      <c r="K43" s="442"/>
      <c r="L43" s="442"/>
      <c r="M43" s="442"/>
      <c r="N43" s="442"/>
      <c r="O43" s="442"/>
      <c r="P43" s="558"/>
      <c r="Q43" s="442"/>
      <c r="R43" s="442"/>
      <c r="S43" s="442"/>
    </row>
    <row r="44" spans="1:19" ht="12" customHeight="1">
      <c r="A44" s="438"/>
      <c r="B44" s="568"/>
      <c r="C44" s="577"/>
      <c r="D44" s="568"/>
      <c r="E44" s="577"/>
      <c r="F44" s="568"/>
      <c r="G44" s="442"/>
      <c r="H44" s="442"/>
      <c r="I44" s="442"/>
      <c r="J44" s="442"/>
      <c r="K44" s="442"/>
      <c r="L44" s="442"/>
      <c r="M44" s="442"/>
      <c r="N44" s="442"/>
      <c r="O44" s="442"/>
      <c r="P44" s="558"/>
      <c r="Q44" s="442"/>
      <c r="R44" s="442"/>
      <c r="S44" s="442"/>
    </row>
    <row r="45" spans="1:19" ht="106.5" customHeight="1">
      <c r="A45" s="614"/>
      <c r="B45" s="568"/>
      <c r="C45" s="577"/>
      <c r="D45" s="568"/>
      <c r="E45" s="1258" t="s">
        <v>478</v>
      </c>
      <c r="F45" s="1259"/>
      <c r="G45" s="1259"/>
      <c r="H45" s="1259"/>
      <c r="I45" s="442"/>
      <c r="J45" s="442"/>
      <c r="K45" s="442"/>
      <c r="L45" s="442"/>
      <c r="M45" s="442"/>
      <c r="N45" s="442"/>
      <c r="O45" s="442"/>
      <c r="P45" s="558"/>
      <c r="Q45" s="442"/>
      <c r="R45" s="442"/>
      <c r="S45" s="442"/>
    </row>
    <row r="46" spans="1:19" ht="12.75" customHeight="1">
      <c r="A46" s="438"/>
      <c r="B46" s="568"/>
      <c r="C46" s="577"/>
      <c r="D46" s="568"/>
      <c r="E46" s="442"/>
      <c r="F46" s="568"/>
      <c r="G46" s="442"/>
      <c r="H46" s="442"/>
      <c r="I46" s="442"/>
      <c r="J46" s="442"/>
      <c r="K46" s="442"/>
      <c r="L46" s="442"/>
      <c r="M46" s="442"/>
      <c r="N46" s="442"/>
      <c r="O46" s="442"/>
      <c r="P46" s="558"/>
      <c r="Q46" s="442"/>
      <c r="R46" s="442"/>
      <c r="S46" s="442"/>
    </row>
    <row r="47" spans="1:19" ht="12.75" customHeight="1">
      <c r="A47" s="438"/>
      <c r="B47" s="568"/>
      <c r="C47" s="1263" t="s">
        <v>479</v>
      </c>
      <c r="D47" s="1264"/>
      <c r="E47" s="1264"/>
      <c r="F47" s="1264"/>
      <c r="G47" s="1264"/>
      <c r="H47" s="1264"/>
      <c r="I47" s="442"/>
      <c r="J47" s="442"/>
      <c r="K47" s="442"/>
      <c r="L47" s="442"/>
      <c r="M47" s="442"/>
      <c r="N47" s="442"/>
      <c r="O47" s="442"/>
      <c r="P47" s="558"/>
      <c r="Q47" s="442"/>
      <c r="R47" s="442"/>
      <c r="S47" s="442"/>
    </row>
    <row r="48" spans="1:18" ht="58.5" customHeight="1">
      <c r="A48" s="438"/>
      <c r="B48" s="439"/>
      <c r="C48" s="1263"/>
      <c r="D48" s="1264"/>
      <c r="E48" s="1264"/>
      <c r="F48" s="1264"/>
      <c r="G48" s="1264"/>
      <c r="H48" s="1264"/>
      <c r="I48" s="443"/>
      <c r="J48" s="443"/>
      <c r="K48" s="443"/>
      <c r="L48" s="443"/>
      <c r="M48" s="443"/>
      <c r="N48" s="443"/>
      <c r="O48" s="250"/>
      <c r="P48" s="250"/>
      <c r="Q48" s="250"/>
      <c r="R48" s="557"/>
    </row>
    <row r="49" spans="1:18" s="565" customFormat="1" ht="15">
      <c r="A49" s="643"/>
      <c r="B49" s="759"/>
      <c r="C49" s="759"/>
      <c r="D49" s="759"/>
      <c r="E49" s="1201"/>
      <c r="F49" s="759"/>
      <c r="G49" s="1201"/>
      <c r="H49" s="1201"/>
      <c r="I49" s="1201"/>
      <c r="J49" s="1201"/>
      <c r="K49" s="1201"/>
      <c r="L49" s="1201"/>
      <c r="M49" s="1201"/>
      <c r="N49" s="1201"/>
      <c r="R49" s="282"/>
    </row>
    <row r="50" spans="1:18" s="565" customFormat="1" ht="15">
      <c r="A50" s="643"/>
      <c r="B50" s="759"/>
      <c r="C50" s="1201"/>
      <c r="D50" s="759"/>
      <c r="E50" s="1201"/>
      <c r="F50" s="759"/>
      <c r="G50" s="1201"/>
      <c r="H50" s="1201"/>
      <c r="I50" s="1201"/>
      <c r="J50" s="1201"/>
      <c r="K50" s="1201"/>
      <c r="L50" s="1201"/>
      <c r="M50" s="1201"/>
      <c r="N50" s="1201"/>
      <c r="R50" s="282"/>
    </row>
    <row r="51" spans="1:18" s="565" customFormat="1" ht="15">
      <c r="A51" s="643"/>
      <c r="B51" s="759"/>
      <c r="C51" s="1201"/>
      <c r="D51" s="759"/>
      <c r="E51" s="1201"/>
      <c r="F51" s="759"/>
      <c r="G51" s="1201"/>
      <c r="H51" s="1201"/>
      <c r="I51" s="1201"/>
      <c r="J51" s="1201"/>
      <c r="K51" s="1201"/>
      <c r="L51" s="1201"/>
      <c r="M51" s="1201"/>
      <c r="N51" s="1201"/>
      <c r="R51" s="282"/>
    </row>
    <row r="52" spans="1:18" s="565" customFormat="1" ht="15">
      <c r="A52" s="643"/>
      <c r="B52" s="759"/>
      <c r="C52" s="1201"/>
      <c r="D52" s="759"/>
      <c r="E52" s="1201"/>
      <c r="F52" s="759"/>
      <c r="G52" s="1201"/>
      <c r="H52" s="1201"/>
      <c r="I52" s="1201"/>
      <c r="J52" s="1201"/>
      <c r="K52" s="1201"/>
      <c r="L52" s="1201"/>
      <c r="M52" s="1201"/>
      <c r="N52" s="1201"/>
      <c r="R52" s="282"/>
    </row>
    <row r="53" spans="1:15" s="565" customFormat="1" ht="15">
      <c r="A53" s="643"/>
      <c r="B53" s="759"/>
      <c r="C53" s="759"/>
      <c r="D53" s="759"/>
      <c r="E53" s="1201"/>
      <c r="F53" s="759"/>
      <c r="G53" s="759"/>
      <c r="H53" s="759"/>
      <c r="I53" s="1201"/>
      <c r="J53" s="1201"/>
      <c r="K53" s="1201"/>
      <c r="O53" s="282"/>
    </row>
    <row r="54" spans="1:13" s="565" customFormat="1" ht="15">
      <c r="A54" s="643"/>
      <c r="B54" s="759"/>
      <c r="C54" s="759"/>
      <c r="D54" s="759"/>
      <c r="E54" s="1201"/>
      <c r="F54" s="1201"/>
      <c r="G54" s="1201"/>
      <c r="H54" s="1201"/>
      <c r="I54" s="1201"/>
      <c r="M54" s="282"/>
    </row>
    <row r="55" spans="1:12" s="565" customFormat="1" ht="15">
      <c r="A55" s="643"/>
      <c r="B55" s="759"/>
      <c r="C55" s="759"/>
      <c r="D55" s="759"/>
      <c r="E55" s="1201"/>
      <c r="F55" s="1201"/>
      <c r="G55" s="1201"/>
      <c r="H55" s="1201"/>
      <c r="L55" s="282"/>
    </row>
    <row r="56" spans="1:15" s="565" customFormat="1" ht="13.5" customHeight="1">
      <c r="A56" s="643"/>
      <c r="B56" s="759"/>
      <c r="C56" s="759"/>
      <c r="D56" s="759"/>
      <c r="E56" s="1201"/>
      <c r="F56" s="1201"/>
      <c r="G56" s="1201"/>
      <c r="H56" s="1201"/>
      <c r="I56" s="1201"/>
      <c r="J56" s="1201"/>
      <c r="K56" s="1201"/>
      <c r="O56" s="282"/>
    </row>
    <row r="57" spans="1:15" s="565" customFormat="1" ht="15">
      <c r="A57" s="643"/>
      <c r="B57" s="759"/>
      <c r="C57" s="759"/>
      <c r="D57" s="759"/>
      <c r="E57" s="1201"/>
      <c r="F57" s="1201"/>
      <c r="G57" s="1201"/>
      <c r="H57" s="1201"/>
      <c r="I57" s="1201"/>
      <c r="J57" s="1201"/>
      <c r="K57" s="1201"/>
      <c r="O57" s="282"/>
    </row>
    <row r="58" spans="1:17" s="565" customFormat="1" ht="15">
      <c r="A58" s="643"/>
      <c r="B58" s="759"/>
      <c r="C58" s="759"/>
      <c r="D58" s="1201"/>
      <c r="E58" s="759"/>
      <c r="F58" s="1201"/>
      <c r="G58" s="1201"/>
      <c r="H58" s="1201"/>
      <c r="I58" s="1201"/>
      <c r="J58" s="1201"/>
      <c r="K58" s="1201"/>
      <c r="L58" s="1201"/>
      <c r="M58" s="1201"/>
      <c r="Q58" s="282"/>
    </row>
    <row r="59" spans="1:18" s="565" customFormat="1" ht="15">
      <c r="A59" s="643"/>
      <c r="B59" s="759"/>
      <c r="C59" s="1201"/>
      <c r="D59" s="759"/>
      <c r="E59" s="1201"/>
      <c r="F59" s="759"/>
      <c r="G59" s="1201"/>
      <c r="H59" s="1201"/>
      <c r="I59" s="1201"/>
      <c r="J59" s="1201"/>
      <c r="K59" s="1201"/>
      <c r="L59" s="1201"/>
      <c r="M59" s="1201"/>
      <c r="N59" s="1201"/>
      <c r="R59" s="282"/>
    </row>
    <row r="60" spans="1:18" s="565" customFormat="1" ht="15">
      <c r="A60" s="643"/>
      <c r="B60" s="759"/>
      <c r="C60" s="1201"/>
      <c r="D60" s="759"/>
      <c r="E60" s="1201"/>
      <c r="F60" s="759"/>
      <c r="G60" s="1201"/>
      <c r="H60" s="1201"/>
      <c r="I60" s="1201"/>
      <c r="J60" s="1201"/>
      <c r="K60" s="1201"/>
      <c r="L60" s="1201"/>
      <c r="M60" s="1201"/>
      <c r="N60" s="1201"/>
      <c r="R60" s="282"/>
    </row>
    <row r="61" spans="1:18" s="565" customFormat="1" ht="15">
      <c r="A61" s="643"/>
      <c r="B61" s="759"/>
      <c r="C61" s="1201"/>
      <c r="D61" s="759"/>
      <c r="E61" s="1201"/>
      <c r="F61" s="759"/>
      <c r="G61" s="1201"/>
      <c r="H61" s="1201"/>
      <c r="I61" s="1201"/>
      <c r="J61" s="1201"/>
      <c r="K61" s="1201"/>
      <c r="L61" s="1201"/>
      <c r="M61" s="1201"/>
      <c r="N61" s="1201"/>
      <c r="R61" s="282"/>
    </row>
    <row r="62" spans="1:18" s="565" customFormat="1" ht="15">
      <c r="A62" s="643"/>
      <c r="B62" s="759"/>
      <c r="C62" s="1201"/>
      <c r="D62" s="759"/>
      <c r="E62" s="1201"/>
      <c r="F62" s="759"/>
      <c r="G62" s="1201"/>
      <c r="H62" s="1201"/>
      <c r="I62" s="1201"/>
      <c r="J62" s="1201"/>
      <c r="K62" s="1201"/>
      <c r="L62" s="1201"/>
      <c r="M62" s="1201"/>
      <c r="N62" s="1201"/>
      <c r="R62" s="282"/>
    </row>
    <row r="63" spans="1:18" s="565" customFormat="1" ht="15">
      <c r="A63" s="643"/>
      <c r="B63" s="759"/>
      <c r="C63" s="1201"/>
      <c r="D63" s="759"/>
      <c r="E63" s="1201"/>
      <c r="F63" s="759"/>
      <c r="G63" s="1201"/>
      <c r="H63" s="1201"/>
      <c r="I63" s="1201"/>
      <c r="J63" s="1201"/>
      <c r="K63" s="1201"/>
      <c r="L63" s="1201"/>
      <c r="M63" s="1201"/>
      <c r="N63" s="1201"/>
      <c r="R63" s="282"/>
    </row>
    <row r="64" spans="1:18" s="565" customFormat="1" ht="15">
      <c r="A64" s="643"/>
      <c r="B64" s="759"/>
      <c r="C64" s="1201"/>
      <c r="D64" s="759"/>
      <c r="E64" s="1201"/>
      <c r="F64" s="759"/>
      <c r="G64" s="1201"/>
      <c r="H64" s="1201"/>
      <c r="I64" s="1201"/>
      <c r="J64" s="1201"/>
      <c r="K64" s="1201"/>
      <c r="L64" s="1201"/>
      <c r="M64" s="1201"/>
      <c r="N64" s="1201"/>
      <c r="R64" s="282"/>
    </row>
    <row r="65" spans="1:18" s="565" customFormat="1" ht="15">
      <c r="A65" s="643"/>
      <c r="B65" s="759"/>
      <c r="C65" s="1201"/>
      <c r="D65" s="759"/>
      <c r="E65" s="1201"/>
      <c r="F65" s="759"/>
      <c r="G65" s="1201"/>
      <c r="H65" s="1201"/>
      <c r="I65" s="1201"/>
      <c r="J65" s="1201"/>
      <c r="K65" s="1201"/>
      <c r="L65" s="1201"/>
      <c r="M65" s="1201"/>
      <c r="N65" s="1201"/>
      <c r="R65" s="282"/>
    </row>
    <row r="66" spans="1:18" s="565" customFormat="1" ht="15">
      <c r="A66" s="643"/>
      <c r="B66" s="759"/>
      <c r="C66" s="759"/>
      <c r="D66" s="759"/>
      <c r="E66" s="1201"/>
      <c r="F66" s="759"/>
      <c r="G66" s="1201"/>
      <c r="H66" s="1201"/>
      <c r="I66" s="1201"/>
      <c r="J66" s="1201"/>
      <c r="K66" s="1201"/>
      <c r="L66" s="1201"/>
      <c r="M66" s="1201"/>
      <c r="N66" s="1201"/>
      <c r="R66" s="282"/>
    </row>
    <row r="67" spans="1:18" s="565" customFormat="1" ht="15">
      <c r="A67" s="643"/>
      <c r="B67" s="759"/>
      <c r="C67" s="759"/>
      <c r="D67" s="759"/>
      <c r="E67" s="1201"/>
      <c r="F67" s="759"/>
      <c r="G67" s="1201"/>
      <c r="H67" s="1201"/>
      <c r="I67" s="1201"/>
      <c r="J67" s="1201"/>
      <c r="K67" s="1201"/>
      <c r="L67" s="1201"/>
      <c r="M67" s="1201"/>
      <c r="N67" s="1201"/>
      <c r="R67" s="282"/>
    </row>
    <row r="68" spans="1:18" s="565" customFormat="1" ht="15">
      <c r="A68" s="643"/>
      <c r="B68" s="759"/>
      <c r="C68" s="759"/>
      <c r="D68" s="759"/>
      <c r="E68" s="1201"/>
      <c r="F68" s="759"/>
      <c r="G68" s="1201"/>
      <c r="H68" s="1201"/>
      <c r="I68" s="1201"/>
      <c r="J68" s="1201"/>
      <c r="K68" s="1201"/>
      <c r="L68" s="1201"/>
      <c r="M68" s="1201"/>
      <c r="N68" s="1201"/>
      <c r="R68" s="282"/>
    </row>
    <row r="69" spans="1:18" s="565" customFormat="1" ht="15">
      <c r="A69" s="643"/>
      <c r="B69" s="759"/>
      <c r="C69" s="759"/>
      <c r="D69" s="759"/>
      <c r="E69" s="1201"/>
      <c r="F69" s="759"/>
      <c r="G69" s="1201"/>
      <c r="H69" s="1201"/>
      <c r="I69" s="1201"/>
      <c r="J69" s="1201"/>
      <c r="K69" s="1201"/>
      <c r="L69" s="1201"/>
      <c r="M69" s="1201"/>
      <c r="N69" s="1201"/>
      <c r="R69" s="282"/>
    </row>
    <row r="70" s="565" customFormat="1" ht="12.75">
      <c r="R70" s="282"/>
    </row>
    <row r="71" spans="2:18" s="379" customFormat="1" ht="12.75">
      <c r="B71" s="579"/>
      <c r="C71" s="579"/>
      <c r="D71" s="579"/>
      <c r="E71" s="579"/>
      <c r="F71" s="579"/>
      <c r="G71" s="579"/>
      <c r="H71" s="579"/>
      <c r="I71" s="579"/>
      <c r="J71" s="579"/>
      <c r="K71" s="579"/>
      <c r="L71" s="579"/>
      <c r="M71" s="579"/>
      <c r="N71" s="579"/>
      <c r="R71" s="533"/>
    </row>
    <row r="72" spans="2:18" s="379" customFormat="1" ht="12.75">
      <c r="B72" s="579"/>
      <c r="C72" s="579"/>
      <c r="D72" s="579"/>
      <c r="E72" s="579"/>
      <c r="F72" s="579"/>
      <c r="G72" s="579"/>
      <c r="H72" s="579"/>
      <c r="I72" s="579"/>
      <c r="J72" s="579"/>
      <c r="K72" s="579"/>
      <c r="L72" s="579"/>
      <c r="M72" s="579"/>
      <c r="N72" s="579"/>
      <c r="R72" s="533"/>
    </row>
    <row r="73" spans="2:14" ht="12.75">
      <c r="B73" s="437"/>
      <c r="C73" s="437"/>
      <c r="D73" s="437"/>
      <c r="E73" s="437"/>
      <c r="F73" s="437"/>
      <c r="G73" s="437"/>
      <c r="H73" s="437"/>
      <c r="I73" s="437"/>
      <c r="J73" s="437"/>
      <c r="K73" s="437"/>
      <c r="L73" s="437"/>
      <c r="M73" s="437"/>
      <c r="N73" s="437"/>
    </row>
    <row r="74" spans="2:14" ht="12.75">
      <c r="B74" s="437"/>
      <c r="C74" s="437"/>
      <c r="D74" s="437"/>
      <c r="E74" s="437"/>
      <c r="F74" s="437"/>
      <c r="G74" s="437"/>
      <c r="H74" s="437"/>
      <c r="I74" s="437"/>
      <c r="J74" s="437"/>
      <c r="K74" s="437"/>
      <c r="L74" s="437"/>
      <c r="M74" s="437"/>
      <c r="N74" s="437"/>
    </row>
    <row r="75" spans="2:14" ht="12.75">
      <c r="B75" s="437"/>
      <c r="C75" s="437"/>
      <c r="D75" s="437"/>
      <c r="E75" s="437"/>
      <c r="F75" s="437"/>
      <c r="G75" s="437"/>
      <c r="H75" s="437"/>
      <c r="I75" s="437"/>
      <c r="J75" s="437"/>
      <c r="K75" s="437"/>
      <c r="L75" s="437"/>
      <c r="M75" s="437"/>
      <c r="N75" s="437"/>
    </row>
    <row r="76" spans="2:14" ht="12.75">
      <c r="B76" s="437"/>
      <c r="C76" s="437"/>
      <c r="D76" s="437"/>
      <c r="E76" s="437"/>
      <c r="F76" s="437"/>
      <c r="G76" s="437"/>
      <c r="H76" s="437"/>
      <c r="I76" s="437"/>
      <c r="J76" s="437"/>
      <c r="K76" s="437"/>
      <c r="L76" s="437"/>
      <c r="M76" s="437"/>
      <c r="N76" s="437"/>
    </row>
    <row r="77" spans="2:14" ht="12.75">
      <c r="B77" s="437"/>
      <c r="C77" s="437"/>
      <c r="D77" s="437"/>
      <c r="E77" s="437"/>
      <c r="F77" s="437"/>
      <c r="G77" s="437"/>
      <c r="H77" s="437"/>
      <c r="I77" s="437"/>
      <c r="J77" s="437"/>
      <c r="K77" s="437"/>
      <c r="L77" s="437"/>
      <c r="M77" s="437"/>
      <c r="N77" s="437"/>
    </row>
    <row r="78" spans="2:14" ht="12.75">
      <c r="B78" s="437"/>
      <c r="C78" s="437"/>
      <c r="D78" s="437"/>
      <c r="E78" s="437"/>
      <c r="F78" s="437"/>
      <c r="G78" s="437"/>
      <c r="H78" s="437"/>
      <c r="I78" s="437"/>
      <c r="J78" s="437"/>
      <c r="K78" s="437"/>
      <c r="L78" s="437"/>
      <c r="M78" s="437"/>
      <c r="N78" s="437"/>
    </row>
    <row r="79" spans="2:14" ht="12.75">
      <c r="B79" s="437"/>
      <c r="C79" s="437"/>
      <c r="D79" s="437"/>
      <c r="E79" s="437"/>
      <c r="F79" s="437"/>
      <c r="G79" s="437"/>
      <c r="H79" s="437"/>
      <c r="I79" s="437"/>
      <c r="J79" s="437"/>
      <c r="K79" s="437"/>
      <c r="L79" s="437"/>
      <c r="M79" s="437"/>
      <c r="N79" s="437"/>
    </row>
    <row r="80" spans="2:14" ht="12.75">
      <c r="B80" s="437"/>
      <c r="C80" s="437"/>
      <c r="D80" s="437"/>
      <c r="E80" s="437"/>
      <c r="F80" s="437"/>
      <c r="G80" s="437"/>
      <c r="H80" s="437"/>
      <c r="I80" s="437"/>
      <c r="J80" s="437"/>
      <c r="K80" s="437"/>
      <c r="L80" s="437"/>
      <c r="M80" s="437"/>
      <c r="N80" s="437"/>
    </row>
    <row r="81" spans="2:14" ht="12.75">
      <c r="B81" s="437"/>
      <c r="C81" s="437"/>
      <c r="D81" s="437"/>
      <c r="E81" s="437"/>
      <c r="F81" s="437"/>
      <c r="G81" s="437"/>
      <c r="H81" s="437"/>
      <c r="I81" s="437"/>
      <c r="J81" s="437"/>
      <c r="K81" s="437"/>
      <c r="L81" s="437"/>
      <c r="M81" s="437"/>
      <c r="N81" s="437"/>
    </row>
    <row r="82" spans="2:14" ht="12.75">
      <c r="B82" s="437"/>
      <c r="C82" s="437"/>
      <c r="D82" s="437"/>
      <c r="E82" s="437"/>
      <c r="F82" s="437"/>
      <c r="G82" s="437"/>
      <c r="H82" s="437"/>
      <c r="I82" s="437"/>
      <c r="J82" s="437"/>
      <c r="K82" s="437"/>
      <c r="L82" s="437"/>
      <c r="M82" s="437"/>
      <c r="N82" s="437"/>
    </row>
    <row r="83" spans="2:14" ht="12.75">
      <c r="B83" s="437"/>
      <c r="C83" s="437"/>
      <c r="D83" s="437"/>
      <c r="E83" s="437"/>
      <c r="F83" s="437"/>
      <c r="G83" s="437"/>
      <c r="H83" s="437"/>
      <c r="I83" s="437"/>
      <c r="J83" s="437"/>
      <c r="K83" s="437"/>
      <c r="L83" s="437"/>
      <c r="M83" s="437"/>
      <c r="N83" s="437"/>
    </row>
    <row r="84" spans="2:14" ht="12.75">
      <c r="B84" s="437"/>
      <c r="C84" s="437"/>
      <c r="D84" s="437"/>
      <c r="E84" s="437"/>
      <c r="F84" s="437"/>
      <c r="G84" s="437"/>
      <c r="H84" s="437"/>
      <c r="I84" s="437"/>
      <c r="J84" s="437"/>
      <c r="K84" s="437"/>
      <c r="L84" s="437"/>
      <c r="M84" s="437"/>
      <c r="N84" s="437"/>
    </row>
    <row r="85" spans="2:14" ht="12.75">
      <c r="B85" s="437"/>
      <c r="C85" s="437"/>
      <c r="D85" s="437"/>
      <c r="E85" s="437"/>
      <c r="F85" s="437"/>
      <c r="G85" s="437"/>
      <c r="H85" s="437"/>
      <c r="I85" s="437"/>
      <c r="J85" s="437"/>
      <c r="K85" s="437"/>
      <c r="L85" s="437"/>
      <c r="M85" s="437"/>
      <c r="N85" s="437"/>
    </row>
    <row r="86" spans="2:14" ht="12.75">
      <c r="B86" s="437"/>
      <c r="C86" s="437"/>
      <c r="D86" s="437"/>
      <c r="E86" s="437"/>
      <c r="F86" s="437"/>
      <c r="G86" s="437"/>
      <c r="H86" s="437"/>
      <c r="I86" s="437"/>
      <c r="J86" s="437"/>
      <c r="K86" s="437"/>
      <c r="L86" s="437"/>
      <c r="M86" s="437"/>
      <c r="N86" s="437"/>
    </row>
    <row r="87" spans="2:14" ht="12.75">
      <c r="B87" s="437"/>
      <c r="C87" s="437"/>
      <c r="D87" s="437"/>
      <c r="E87" s="437"/>
      <c r="F87" s="437"/>
      <c r="G87" s="437"/>
      <c r="H87" s="437"/>
      <c r="I87" s="437"/>
      <c r="J87" s="437"/>
      <c r="K87" s="437"/>
      <c r="L87" s="437"/>
      <c r="M87" s="437"/>
      <c r="N87" s="437"/>
    </row>
    <row r="88" spans="2:14" ht="12.75">
      <c r="B88" s="437"/>
      <c r="C88" s="437"/>
      <c r="D88" s="437"/>
      <c r="E88" s="437"/>
      <c r="F88" s="437"/>
      <c r="G88" s="437"/>
      <c r="H88" s="437"/>
      <c r="I88" s="437"/>
      <c r="J88" s="437"/>
      <c r="K88" s="437"/>
      <c r="L88" s="437"/>
      <c r="M88" s="437"/>
      <c r="N88" s="437"/>
    </row>
    <row r="89" spans="2:14" ht="12.75">
      <c r="B89" s="437"/>
      <c r="C89" s="437"/>
      <c r="D89" s="437"/>
      <c r="E89" s="437"/>
      <c r="F89" s="437"/>
      <c r="G89" s="437"/>
      <c r="H89" s="437"/>
      <c r="I89" s="437"/>
      <c r="J89" s="437"/>
      <c r="K89" s="437"/>
      <c r="L89" s="437"/>
      <c r="M89" s="437"/>
      <c r="N89" s="437"/>
    </row>
    <row r="90" spans="2:14" ht="12.75">
      <c r="B90" s="437"/>
      <c r="C90" s="437"/>
      <c r="D90" s="437"/>
      <c r="E90" s="437"/>
      <c r="F90" s="437"/>
      <c r="G90" s="437"/>
      <c r="H90" s="437"/>
      <c r="I90" s="437"/>
      <c r="J90" s="437"/>
      <c r="K90" s="437"/>
      <c r="L90" s="437"/>
      <c r="M90" s="437"/>
      <c r="N90" s="437"/>
    </row>
    <row r="91" spans="2:14" ht="12.75">
      <c r="B91" s="437"/>
      <c r="C91" s="437"/>
      <c r="D91" s="437"/>
      <c r="E91" s="437"/>
      <c r="F91" s="437"/>
      <c r="G91" s="437"/>
      <c r="H91" s="437"/>
      <c r="I91" s="437"/>
      <c r="J91" s="437"/>
      <c r="K91" s="437"/>
      <c r="L91" s="437"/>
      <c r="M91" s="437"/>
      <c r="N91" s="437"/>
    </row>
    <row r="92" spans="2:14" ht="12.75">
      <c r="B92" s="437"/>
      <c r="C92" s="437"/>
      <c r="D92" s="437"/>
      <c r="E92" s="437"/>
      <c r="F92" s="437"/>
      <c r="G92" s="437"/>
      <c r="H92" s="437"/>
      <c r="I92" s="437"/>
      <c r="J92" s="437"/>
      <c r="K92" s="437"/>
      <c r="L92" s="437"/>
      <c r="M92" s="437"/>
      <c r="N92" s="437"/>
    </row>
    <row r="93" spans="2:14" ht="12.75">
      <c r="B93" s="437"/>
      <c r="C93" s="437"/>
      <c r="D93" s="437"/>
      <c r="E93" s="437"/>
      <c r="F93" s="437"/>
      <c r="G93" s="437"/>
      <c r="H93" s="437"/>
      <c r="I93" s="437"/>
      <c r="J93" s="437"/>
      <c r="K93" s="437"/>
      <c r="L93" s="437"/>
      <c r="M93" s="437"/>
      <c r="N93" s="437"/>
    </row>
    <row r="94" spans="2:14" ht="12.75">
      <c r="B94" s="437"/>
      <c r="C94" s="437"/>
      <c r="D94" s="437"/>
      <c r="E94" s="437"/>
      <c r="F94" s="437"/>
      <c r="G94" s="437"/>
      <c r="H94" s="437"/>
      <c r="I94" s="437"/>
      <c r="J94" s="437"/>
      <c r="K94" s="437"/>
      <c r="L94" s="437"/>
      <c r="M94" s="437"/>
      <c r="N94" s="437"/>
    </row>
    <row r="95" spans="2:14" ht="12.75">
      <c r="B95" s="437"/>
      <c r="C95" s="437"/>
      <c r="D95" s="437"/>
      <c r="E95" s="437"/>
      <c r="F95" s="437"/>
      <c r="G95" s="437"/>
      <c r="H95" s="437"/>
      <c r="I95" s="437"/>
      <c r="J95" s="437"/>
      <c r="K95" s="437"/>
      <c r="L95" s="437"/>
      <c r="M95" s="437"/>
      <c r="N95" s="437"/>
    </row>
    <row r="96" spans="2:14" ht="12.75">
      <c r="B96" s="437"/>
      <c r="C96" s="437"/>
      <c r="D96" s="437"/>
      <c r="E96" s="437"/>
      <c r="F96" s="437"/>
      <c r="G96" s="437"/>
      <c r="H96" s="437"/>
      <c r="I96" s="437"/>
      <c r="J96" s="437"/>
      <c r="K96" s="437"/>
      <c r="L96" s="437"/>
      <c r="M96" s="437"/>
      <c r="N96" s="437"/>
    </row>
    <row r="97" spans="2:14" ht="12.75">
      <c r="B97" s="437"/>
      <c r="C97" s="437"/>
      <c r="D97" s="437"/>
      <c r="E97" s="437"/>
      <c r="F97" s="437"/>
      <c r="G97" s="437"/>
      <c r="H97" s="437"/>
      <c r="I97" s="437"/>
      <c r="J97" s="437"/>
      <c r="K97" s="437"/>
      <c r="L97" s="437"/>
      <c r="M97" s="437"/>
      <c r="N97" s="437"/>
    </row>
    <row r="98" spans="2:14" ht="12.75">
      <c r="B98" s="437"/>
      <c r="C98" s="437"/>
      <c r="D98" s="437"/>
      <c r="E98" s="437"/>
      <c r="F98" s="437"/>
      <c r="G98" s="437"/>
      <c r="H98" s="437"/>
      <c r="I98" s="437"/>
      <c r="J98" s="437"/>
      <c r="K98" s="437"/>
      <c r="L98" s="437"/>
      <c r="M98" s="437"/>
      <c r="N98" s="437"/>
    </row>
    <row r="99" spans="2:14" ht="12.75">
      <c r="B99" s="437"/>
      <c r="C99" s="437"/>
      <c r="D99" s="437"/>
      <c r="E99" s="437"/>
      <c r="F99" s="437"/>
      <c r="G99" s="437"/>
      <c r="H99" s="437"/>
      <c r="I99" s="437"/>
      <c r="J99" s="437"/>
      <c r="K99" s="437"/>
      <c r="L99" s="437"/>
      <c r="M99" s="437"/>
      <c r="N99" s="437"/>
    </row>
    <row r="100" spans="2:14" ht="12.75">
      <c r="B100" s="437"/>
      <c r="C100" s="437"/>
      <c r="D100" s="437"/>
      <c r="E100" s="437"/>
      <c r="F100" s="437"/>
      <c r="G100" s="437"/>
      <c r="H100" s="437"/>
      <c r="I100" s="437"/>
      <c r="J100" s="437"/>
      <c r="K100" s="437"/>
      <c r="L100" s="437"/>
      <c r="M100" s="437"/>
      <c r="N100" s="437"/>
    </row>
    <row r="101" spans="2:14" ht="12.75">
      <c r="B101" s="437"/>
      <c r="C101" s="437"/>
      <c r="D101" s="437"/>
      <c r="E101" s="437"/>
      <c r="F101" s="437"/>
      <c r="G101" s="437"/>
      <c r="H101" s="437"/>
      <c r="I101" s="437"/>
      <c r="J101" s="437"/>
      <c r="K101" s="437"/>
      <c r="L101" s="437"/>
      <c r="M101" s="437"/>
      <c r="N101" s="437"/>
    </row>
    <row r="102" spans="2:14" ht="12.75">
      <c r="B102" s="437"/>
      <c r="C102" s="437"/>
      <c r="D102" s="437"/>
      <c r="E102" s="437"/>
      <c r="F102" s="437"/>
      <c r="G102" s="437"/>
      <c r="H102" s="437"/>
      <c r="I102" s="437"/>
      <c r="J102" s="437"/>
      <c r="K102" s="437"/>
      <c r="L102" s="437"/>
      <c r="M102" s="437"/>
      <c r="N102" s="437"/>
    </row>
    <row r="103" spans="2:14" ht="12.75">
      <c r="B103" s="437"/>
      <c r="C103" s="437"/>
      <c r="D103" s="437"/>
      <c r="E103" s="437"/>
      <c r="F103" s="437"/>
      <c r="G103" s="437"/>
      <c r="H103" s="437"/>
      <c r="I103" s="437"/>
      <c r="J103" s="437"/>
      <c r="K103" s="437"/>
      <c r="L103" s="437"/>
      <c r="M103" s="437"/>
      <c r="N103" s="437"/>
    </row>
    <row r="104" spans="2:14" ht="12.75">
      <c r="B104" s="437"/>
      <c r="C104" s="437"/>
      <c r="D104" s="437"/>
      <c r="E104" s="437"/>
      <c r="F104" s="437"/>
      <c r="G104" s="437"/>
      <c r="H104" s="437"/>
      <c r="I104" s="437"/>
      <c r="J104" s="437"/>
      <c r="K104" s="437"/>
      <c r="L104" s="437"/>
      <c r="M104" s="437"/>
      <c r="N104" s="437"/>
    </row>
    <row r="105" spans="2:14" ht="12.75">
      <c r="B105" s="437"/>
      <c r="C105" s="437"/>
      <c r="D105" s="437"/>
      <c r="E105" s="437"/>
      <c r="F105" s="437"/>
      <c r="G105" s="437"/>
      <c r="H105" s="437"/>
      <c r="I105" s="437"/>
      <c r="J105" s="437"/>
      <c r="K105" s="437"/>
      <c r="L105" s="437"/>
      <c r="M105" s="437"/>
      <c r="N105" s="437"/>
    </row>
    <row r="106" spans="2:14" ht="12.75">
      <c r="B106" s="437"/>
      <c r="C106" s="437"/>
      <c r="D106" s="437"/>
      <c r="E106" s="437"/>
      <c r="F106" s="437"/>
      <c r="G106" s="437"/>
      <c r="H106" s="437"/>
      <c r="I106" s="437"/>
      <c r="J106" s="437"/>
      <c r="K106" s="437"/>
      <c r="L106" s="437"/>
      <c r="M106" s="437"/>
      <c r="N106" s="437"/>
    </row>
    <row r="107" spans="2:14" ht="12.75">
      <c r="B107" s="437"/>
      <c r="C107" s="437"/>
      <c r="D107" s="437"/>
      <c r="E107" s="437"/>
      <c r="F107" s="437"/>
      <c r="G107" s="437"/>
      <c r="H107" s="437"/>
      <c r="I107" s="437"/>
      <c r="J107" s="437"/>
      <c r="K107" s="437"/>
      <c r="L107" s="437"/>
      <c r="M107" s="437"/>
      <c r="N107" s="437"/>
    </row>
    <row r="108" spans="2:14" ht="12.75">
      <c r="B108" s="437"/>
      <c r="C108" s="437"/>
      <c r="D108" s="437"/>
      <c r="E108" s="437"/>
      <c r="F108" s="437"/>
      <c r="G108" s="437"/>
      <c r="H108" s="437"/>
      <c r="I108" s="437"/>
      <c r="J108" s="437"/>
      <c r="K108" s="437"/>
      <c r="L108" s="437"/>
      <c r="M108" s="437"/>
      <c r="N108" s="437"/>
    </row>
    <row r="109" spans="2:14" ht="12.75">
      <c r="B109" s="437"/>
      <c r="C109" s="437"/>
      <c r="D109" s="437"/>
      <c r="E109" s="437"/>
      <c r="F109" s="437"/>
      <c r="G109" s="437"/>
      <c r="H109" s="437"/>
      <c r="I109" s="437"/>
      <c r="J109" s="437"/>
      <c r="K109" s="437"/>
      <c r="L109" s="437"/>
      <c r="M109" s="437"/>
      <c r="N109" s="437"/>
    </row>
    <row r="110" spans="2:14" ht="12.75">
      <c r="B110" s="437"/>
      <c r="C110" s="437"/>
      <c r="D110" s="437"/>
      <c r="E110" s="437"/>
      <c r="F110" s="437"/>
      <c r="G110" s="437"/>
      <c r="H110" s="437"/>
      <c r="I110" s="437"/>
      <c r="J110" s="437"/>
      <c r="K110" s="437"/>
      <c r="L110" s="437"/>
      <c r="M110" s="437"/>
      <c r="N110" s="437"/>
    </row>
    <row r="111" spans="2:14" ht="12.75">
      <c r="B111" s="437"/>
      <c r="C111" s="437"/>
      <c r="D111" s="437"/>
      <c r="E111" s="437"/>
      <c r="F111" s="437"/>
      <c r="G111" s="437"/>
      <c r="H111" s="437"/>
      <c r="I111" s="437"/>
      <c r="J111" s="437"/>
      <c r="K111" s="437"/>
      <c r="L111" s="437"/>
      <c r="M111" s="437"/>
      <c r="N111" s="437"/>
    </row>
    <row r="112" spans="2:14" ht="12.75">
      <c r="B112" s="437"/>
      <c r="C112" s="437"/>
      <c r="D112" s="437"/>
      <c r="E112" s="437"/>
      <c r="F112" s="437"/>
      <c r="G112" s="437"/>
      <c r="H112" s="437"/>
      <c r="I112" s="437"/>
      <c r="J112" s="437"/>
      <c r="K112" s="437"/>
      <c r="L112" s="437"/>
      <c r="M112" s="437"/>
      <c r="N112" s="437"/>
    </row>
    <row r="113" spans="2:14" ht="12.75">
      <c r="B113" s="437"/>
      <c r="C113" s="437"/>
      <c r="D113" s="437"/>
      <c r="E113" s="437"/>
      <c r="F113" s="437"/>
      <c r="G113" s="437"/>
      <c r="H113" s="437"/>
      <c r="I113" s="437"/>
      <c r="J113" s="437"/>
      <c r="K113" s="437"/>
      <c r="L113" s="437"/>
      <c r="M113" s="437"/>
      <c r="N113" s="437"/>
    </row>
    <row r="114" spans="2:14" ht="12.75">
      <c r="B114" s="437"/>
      <c r="C114" s="437"/>
      <c r="D114" s="437"/>
      <c r="E114" s="437"/>
      <c r="F114" s="437"/>
      <c r="G114" s="437"/>
      <c r="H114" s="437"/>
      <c r="I114" s="437"/>
      <c r="J114" s="437"/>
      <c r="K114" s="437"/>
      <c r="L114" s="437"/>
      <c r="M114" s="437"/>
      <c r="N114" s="437"/>
    </row>
    <row r="115" spans="2:14" ht="12.75">
      <c r="B115" s="437"/>
      <c r="C115" s="437"/>
      <c r="D115" s="437"/>
      <c r="E115" s="437"/>
      <c r="F115" s="437"/>
      <c r="G115" s="437"/>
      <c r="H115" s="437"/>
      <c r="I115" s="437"/>
      <c r="J115" s="437"/>
      <c r="K115" s="437"/>
      <c r="L115" s="437"/>
      <c r="M115" s="437"/>
      <c r="N115" s="437"/>
    </row>
    <row r="116" spans="2:14" ht="12.75">
      <c r="B116" s="437"/>
      <c r="C116" s="437"/>
      <c r="D116" s="437"/>
      <c r="E116" s="437"/>
      <c r="F116" s="437"/>
      <c r="G116" s="437"/>
      <c r="H116" s="437"/>
      <c r="I116" s="437"/>
      <c r="J116" s="437"/>
      <c r="K116" s="437"/>
      <c r="L116" s="437"/>
      <c r="M116" s="437"/>
      <c r="N116" s="437"/>
    </row>
    <row r="117" spans="2:14" ht="12.75">
      <c r="B117" s="437"/>
      <c r="C117" s="437"/>
      <c r="D117" s="437"/>
      <c r="E117" s="437"/>
      <c r="F117" s="437"/>
      <c r="G117" s="437"/>
      <c r="H117" s="437"/>
      <c r="I117" s="437"/>
      <c r="J117" s="437"/>
      <c r="K117" s="437"/>
      <c r="L117" s="437"/>
      <c r="M117" s="437"/>
      <c r="N117" s="437"/>
    </row>
    <row r="118" spans="2:14" ht="12.75">
      <c r="B118" s="437"/>
      <c r="C118" s="437"/>
      <c r="D118" s="437"/>
      <c r="E118" s="437"/>
      <c r="F118" s="437"/>
      <c r="G118" s="437"/>
      <c r="H118" s="437"/>
      <c r="I118" s="437"/>
      <c r="J118" s="437"/>
      <c r="K118" s="437"/>
      <c r="L118" s="437"/>
      <c r="M118" s="437"/>
      <c r="N118" s="437"/>
    </row>
    <row r="119" spans="2:14" ht="12.75">
      <c r="B119" s="437"/>
      <c r="C119" s="437"/>
      <c r="D119" s="437"/>
      <c r="E119" s="437"/>
      <c r="F119" s="437"/>
      <c r="G119" s="437"/>
      <c r="H119" s="437"/>
      <c r="I119" s="437"/>
      <c r="J119" s="437"/>
      <c r="K119" s="437"/>
      <c r="L119" s="437"/>
      <c r="M119" s="437"/>
      <c r="N119" s="437"/>
    </row>
    <row r="120" spans="2:14" ht="12.75">
      <c r="B120" s="437"/>
      <c r="C120" s="437"/>
      <c r="D120" s="437"/>
      <c r="E120" s="437"/>
      <c r="F120" s="437"/>
      <c r="G120" s="437"/>
      <c r="H120" s="437"/>
      <c r="I120" s="437"/>
      <c r="J120" s="437"/>
      <c r="K120" s="437"/>
      <c r="L120" s="437"/>
      <c r="M120" s="437"/>
      <c r="N120" s="437"/>
    </row>
    <row r="121" spans="2:14" ht="12.75">
      <c r="B121" s="437"/>
      <c r="C121" s="437"/>
      <c r="D121" s="437"/>
      <c r="E121" s="437"/>
      <c r="F121" s="437"/>
      <c r="G121" s="437"/>
      <c r="H121" s="437"/>
      <c r="I121" s="437"/>
      <c r="J121" s="437"/>
      <c r="K121" s="437"/>
      <c r="L121" s="437"/>
      <c r="M121" s="437"/>
      <c r="N121" s="437"/>
    </row>
    <row r="122" spans="2:14" ht="12.75">
      <c r="B122" s="437"/>
      <c r="C122" s="437"/>
      <c r="D122" s="437"/>
      <c r="E122" s="437"/>
      <c r="F122" s="437"/>
      <c r="G122" s="437"/>
      <c r="H122" s="437"/>
      <c r="I122" s="437"/>
      <c r="J122" s="437"/>
      <c r="K122" s="437"/>
      <c r="L122" s="437"/>
      <c r="M122" s="437"/>
      <c r="N122" s="437"/>
    </row>
    <row r="123" spans="2:14" ht="12.75">
      <c r="B123" s="437"/>
      <c r="C123" s="437"/>
      <c r="D123" s="437"/>
      <c r="E123" s="437"/>
      <c r="F123" s="437"/>
      <c r="G123" s="437"/>
      <c r="H123" s="437"/>
      <c r="I123" s="437"/>
      <c r="J123" s="437"/>
      <c r="K123" s="437"/>
      <c r="L123" s="437"/>
      <c r="M123" s="437"/>
      <c r="N123" s="437"/>
    </row>
    <row r="124" spans="2:14" ht="12.75">
      <c r="B124" s="437"/>
      <c r="C124" s="437"/>
      <c r="D124" s="437"/>
      <c r="E124" s="437"/>
      <c r="F124" s="437"/>
      <c r="G124" s="437"/>
      <c r="H124" s="437"/>
      <c r="I124" s="437"/>
      <c r="J124" s="437"/>
      <c r="K124" s="437"/>
      <c r="L124" s="437"/>
      <c r="M124" s="437"/>
      <c r="N124" s="437"/>
    </row>
    <row r="125" spans="2:14" ht="12.75">
      <c r="B125" s="437"/>
      <c r="C125" s="437"/>
      <c r="D125" s="437"/>
      <c r="E125" s="437"/>
      <c r="F125" s="437"/>
      <c r="G125" s="437"/>
      <c r="H125" s="437"/>
      <c r="I125" s="437"/>
      <c r="J125" s="437"/>
      <c r="K125" s="437"/>
      <c r="L125" s="437"/>
      <c r="M125" s="437"/>
      <c r="N125" s="437"/>
    </row>
    <row r="126" spans="2:14" ht="12.75">
      <c r="B126" s="437"/>
      <c r="C126" s="437"/>
      <c r="D126" s="437"/>
      <c r="E126" s="437"/>
      <c r="F126" s="437"/>
      <c r="G126" s="437"/>
      <c r="H126" s="437"/>
      <c r="I126" s="437"/>
      <c r="J126" s="437"/>
      <c r="K126" s="437"/>
      <c r="L126" s="437"/>
      <c r="M126" s="437"/>
      <c r="N126" s="437"/>
    </row>
    <row r="127" spans="2:14" ht="12.75">
      <c r="B127" s="437"/>
      <c r="C127" s="437"/>
      <c r="D127" s="437"/>
      <c r="E127" s="437"/>
      <c r="F127" s="437"/>
      <c r="G127" s="437"/>
      <c r="H127" s="437"/>
      <c r="I127" s="437"/>
      <c r="J127" s="437"/>
      <c r="K127" s="437"/>
      <c r="L127" s="437"/>
      <c r="M127" s="437"/>
      <c r="N127" s="437"/>
    </row>
    <row r="128" spans="2:14" ht="12.75">
      <c r="B128" s="437"/>
      <c r="C128" s="437"/>
      <c r="D128" s="437"/>
      <c r="E128" s="437"/>
      <c r="F128" s="437"/>
      <c r="G128" s="437"/>
      <c r="H128" s="437"/>
      <c r="I128" s="437"/>
      <c r="J128" s="437"/>
      <c r="K128" s="437"/>
      <c r="L128" s="437"/>
      <c r="M128" s="437"/>
      <c r="N128" s="437"/>
    </row>
    <row r="129" spans="2:14" ht="12.75">
      <c r="B129" s="437"/>
      <c r="C129" s="437"/>
      <c r="D129" s="437"/>
      <c r="E129" s="437"/>
      <c r="F129" s="437"/>
      <c r="G129" s="437"/>
      <c r="H129" s="437"/>
      <c r="I129" s="437"/>
      <c r="J129" s="437"/>
      <c r="K129" s="437"/>
      <c r="L129" s="437"/>
      <c r="M129" s="437"/>
      <c r="N129" s="437"/>
    </row>
    <row r="130" spans="2:14" ht="12.75">
      <c r="B130" s="437"/>
      <c r="C130" s="437"/>
      <c r="D130" s="437"/>
      <c r="E130" s="437"/>
      <c r="F130" s="437"/>
      <c r="G130" s="437"/>
      <c r="H130" s="437"/>
      <c r="I130" s="437"/>
      <c r="J130" s="437"/>
      <c r="K130" s="437"/>
      <c r="L130" s="437"/>
      <c r="M130" s="437"/>
      <c r="N130" s="437"/>
    </row>
    <row r="131" spans="2:14" ht="12.75">
      <c r="B131" s="437"/>
      <c r="C131" s="437"/>
      <c r="D131" s="437"/>
      <c r="E131" s="437"/>
      <c r="F131" s="437"/>
      <c r="G131" s="437"/>
      <c r="H131" s="437"/>
      <c r="I131" s="437"/>
      <c r="J131" s="437"/>
      <c r="K131" s="437"/>
      <c r="L131" s="437"/>
      <c r="M131" s="437"/>
      <c r="N131" s="437"/>
    </row>
    <row r="132" spans="2:14" ht="12.75">
      <c r="B132" s="437"/>
      <c r="C132" s="437"/>
      <c r="D132" s="437"/>
      <c r="E132" s="437"/>
      <c r="F132" s="437"/>
      <c r="G132" s="437"/>
      <c r="H132" s="437"/>
      <c r="I132" s="437"/>
      <c r="J132" s="437"/>
      <c r="K132" s="437"/>
      <c r="L132" s="437"/>
      <c r="M132" s="437"/>
      <c r="N132" s="437"/>
    </row>
    <row r="133" spans="2:14" ht="12.75">
      <c r="B133" s="437"/>
      <c r="C133" s="437"/>
      <c r="D133" s="437"/>
      <c r="E133" s="437"/>
      <c r="F133" s="437"/>
      <c r="G133" s="437"/>
      <c r="H133" s="437"/>
      <c r="I133" s="437"/>
      <c r="J133" s="437"/>
      <c r="K133" s="437"/>
      <c r="L133" s="437"/>
      <c r="M133" s="437"/>
      <c r="N133" s="437"/>
    </row>
    <row r="134" spans="2:14" ht="12.75">
      <c r="B134" s="437"/>
      <c r="C134" s="437"/>
      <c r="D134" s="437"/>
      <c r="E134" s="437"/>
      <c r="F134" s="437"/>
      <c r="G134" s="437"/>
      <c r="H134" s="437"/>
      <c r="I134" s="437"/>
      <c r="J134" s="437"/>
      <c r="K134" s="437"/>
      <c r="L134" s="437"/>
      <c r="M134" s="437"/>
      <c r="N134" s="437"/>
    </row>
    <row r="135" spans="2:14" ht="12.75">
      <c r="B135" s="437"/>
      <c r="C135" s="437"/>
      <c r="D135" s="437"/>
      <c r="E135" s="437"/>
      <c r="F135" s="437"/>
      <c r="G135" s="437"/>
      <c r="H135" s="437"/>
      <c r="I135" s="437"/>
      <c r="J135" s="437"/>
      <c r="K135" s="437"/>
      <c r="L135" s="437"/>
      <c r="M135" s="437"/>
      <c r="N135" s="437"/>
    </row>
    <row r="136" spans="2:14" ht="12.75">
      <c r="B136" s="437"/>
      <c r="C136" s="437"/>
      <c r="D136" s="437"/>
      <c r="E136" s="437"/>
      <c r="F136" s="437"/>
      <c r="G136" s="437"/>
      <c r="H136" s="437"/>
      <c r="I136" s="437"/>
      <c r="J136" s="437"/>
      <c r="K136" s="437"/>
      <c r="L136" s="437"/>
      <c r="M136" s="437"/>
      <c r="N136" s="437"/>
    </row>
    <row r="137" spans="2:14" ht="12.75">
      <c r="B137" s="437"/>
      <c r="C137" s="437"/>
      <c r="D137" s="437"/>
      <c r="E137" s="437"/>
      <c r="F137" s="437"/>
      <c r="G137" s="437"/>
      <c r="H137" s="437"/>
      <c r="I137" s="437"/>
      <c r="J137" s="437"/>
      <c r="K137" s="437"/>
      <c r="L137" s="437"/>
      <c r="M137" s="437"/>
      <c r="N137" s="437"/>
    </row>
    <row r="138" spans="2:14" ht="12.75">
      <c r="B138" s="437"/>
      <c r="C138" s="437"/>
      <c r="D138" s="437"/>
      <c r="E138" s="437"/>
      <c r="F138" s="437"/>
      <c r="G138" s="437"/>
      <c r="H138" s="437"/>
      <c r="I138" s="437"/>
      <c r="J138" s="437"/>
      <c r="K138" s="437"/>
      <c r="L138" s="437"/>
      <c r="M138" s="437"/>
      <c r="N138" s="437"/>
    </row>
    <row r="139" spans="2:14" ht="12.75">
      <c r="B139" s="437"/>
      <c r="C139" s="437"/>
      <c r="D139" s="437"/>
      <c r="E139" s="437"/>
      <c r="F139" s="437"/>
      <c r="G139" s="437"/>
      <c r="H139" s="437"/>
      <c r="I139" s="437"/>
      <c r="J139" s="437"/>
      <c r="K139" s="437"/>
      <c r="L139" s="437"/>
      <c r="M139" s="437"/>
      <c r="N139" s="437"/>
    </row>
    <row r="140" spans="2:14" ht="12.75">
      <c r="B140" s="437"/>
      <c r="C140" s="437"/>
      <c r="D140" s="437"/>
      <c r="E140" s="437"/>
      <c r="F140" s="437"/>
      <c r="G140" s="437"/>
      <c r="H140" s="437"/>
      <c r="I140" s="437"/>
      <c r="J140" s="437"/>
      <c r="K140" s="437"/>
      <c r="L140" s="437"/>
      <c r="M140" s="437"/>
      <c r="N140" s="437"/>
    </row>
    <row r="141" spans="2:14" ht="12.75">
      <c r="B141" s="437"/>
      <c r="C141" s="437"/>
      <c r="D141" s="437"/>
      <c r="E141" s="437"/>
      <c r="F141" s="437"/>
      <c r="G141" s="437"/>
      <c r="H141" s="437"/>
      <c r="I141" s="437"/>
      <c r="J141" s="437"/>
      <c r="K141" s="437"/>
      <c r="L141" s="437"/>
      <c r="M141" s="437"/>
      <c r="N141" s="437"/>
    </row>
    <row r="142" spans="2:14" ht="12.75">
      <c r="B142" s="437"/>
      <c r="C142" s="437"/>
      <c r="D142" s="437"/>
      <c r="E142" s="437"/>
      <c r="F142" s="437"/>
      <c r="G142" s="437"/>
      <c r="H142" s="437"/>
      <c r="I142" s="437"/>
      <c r="J142" s="437"/>
      <c r="K142" s="437"/>
      <c r="L142" s="437"/>
      <c r="M142" s="437"/>
      <c r="N142" s="437"/>
    </row>
    <row r="143" spans="2:14" ht="12.75">
      <c r="B143" s="437"/>
      <c r="C143" s="437"/>
      <c r="D143" s="437"/>
      <c r="E143" s="437"/>
      <c r="F143" s="437"/>
      <c r="G143" s="437"/>
      <c r="H143" s="437"/>
      <c r="I143" s="437"/>
      <c r="J143" s="437"/>
      <c r="K143" s="437"/>
      <c r="L143" s="437"/>
      <c r="M143" s="437"/>
      <c r="N143" s="437"/>
    </row>
    <row r="144" spans="2:14" ht="12.75">
      <c r="B144" s="437"/>
      <c r="C144" s="437"/>
      <c r="D144" s="437"/>
      <c r="E144" s="437"/>
      <c r="F144" s="437"/>
      <c r="G144" s="437"/>
      <c r="H144" s="437"/>
      <c r="I144" s="437"/>
      <c r="J144" s="437"/>
      <c r="K144" s="437"/>
      <c r="L144" s="437"/>
      <c r="M144" s="437"/>
      <c r="N144" s="437"/>
    </row>
    <row r="145" spans="2:14" ht="12.75">
      <c r="B145" s="437"/>
      <c r="C145" s="437"/>
      <c r="D145" s="437"/>
      <c r="E145" s="437"/>
      <c r="F145" s="437"/>
      <c r="G145" s="437"/>
      <c r="H145" s="437"/>
      <c r="I145" s="437"/>
      <c r="J145" s="437"/>
      <c r="K145" s="437"/>
      <c r="L145" s="437"/>
      <c r="M145" s="437"/>
      <c r="N145" s="437"/>
    </row>
    <row r="146" spans="2:14" ht="12.75">
      <c r="B146" s="437"/>
      <c r="C146" s="437"/>
      <c r="D146" s="437"/>
      <c r="E146" s="437"/>
      <c r="F146" s="437"/>
      <c r="G146" s="437"/>
      <c r="H146" s="437"/>
      <c r="I146" s="437"/>
      <c r="J146" s="437"/>
      <c r="K146" s="437"/>
      <c r="L146" s="437"/>
      <c r="M146" s="437"/>
      <c r="N146" s="437"/>
    </row>
    <row r="147" spans="2:14" ht="12.75">
      <c r="B147" s="437"/>
      <c r="C147" s="437"/>
      <c r="D147" s="437"/>
      <c r="E147" s="437"/>
      <c r="F147" s="437"/>
      <c r="G147" s="437"/>
      <c r="H147" s="437"/>
      <c r="I147" s="437"/>
      <c r="J147" s="437"/>
      <c r="K147" s="437"/>
      <c r="L147" s="437"/>
      <c r="M147" s="437"/>
      <c r="N147" s="437"/>
    </row>
    <row r="148" spans="2:14" ht="12.75">
      <c r="B148" s="437"/>
      <c r="C148" s="437"/>
      <c r="D148" s="437"/>
      <c r="E148" s="437"/>
      <c r="F148" s="437"/>
      <c r="G148" s="437"/>
      <c r="H148" s="437"/>
      <c r="I148" s="437"/>
      <c r="J148" s="437"/>
      <c r="K148" s="437"/>
      <c r="L148" s="437"/>
      <c r="M148" s="437"/>
      <c r="N148" s="437"/>
    </row>
    <row r="149" spans="2:14" ht="12.75">
      <c r="B149" s="437"/>
      <c r="C149" s="437"/>
      <c r="D149" s="437"/>
      <c r="E149" s="437"/>
      <c r="F149" s="437"/>
      <c r="G149" s="437"/>
      <c r="H149" s="437"/>
      <c r="I149" s="437"/>
      <c r="J149" s="437"/>
      <c r="K149" s="437"/>
      <c r="L149" s="437"/>
      <c r="M149" s="437"/>
      <c r="N149" s="437"/>
    </row>
    <row r="150" spans="2:14" ht="12.75">
      <c r="B150" s="437"/>
      <c r="C150" s="437"/>
      <c r="D150" s="437"/>
      <c r="E150" s="437"/>
      <c r="F150" s="437"/>
      <c r="G150" s="437"/>
      <c r="H150" s="437"/>
      <c r="I150" s="437"/>
      <c r="J150" s="437"/>
      <c r="K150" s="437"/>
      <c r="L150" s="437"/>
      <c r="M150" s="437"/>
      <c r="N150" s="437"/>
    </row>
    <row r="151" spans="2:14" ht="12.75">
      <c r="B151" s="437"/>
      <c r="C151" s="437"/>
      <c r="D151" s="437"/>
      <c r="E151" s="437"/>
      <c r="F151" s="437"/>
      <c r="G151" s="437"/>
      <c r="H151" s="437"/>
      <c r="I151" s="437"/>
      <c r="J151" s="437"/>
      <c r="K151" s="437"/>
      <c r="L151" s="437"/>
      <c r="M151" s="437"/>
      <c r="N151" s="437"/>
    </row>
    <row r="152" spans="2:14" ht="12.75">
      <c r="B152" s="437"/>
      <c r="C152" s="437"/>
      <c r="D152" s="437"/>
      <c r="E152" s="437"/>
      <c r="F152" s="437"/>
      <c r="G152" s="437"/>
      <c r="H152" s="437"/>
      <c r="I152" s="437"/>
      <c r="J152" s="437"/>
      <c r="K152" s="437"/>
      <c r="L152" s="437"/>
      <c r="M152" s="437"/>
      <c r="N152" s="437"/>
    </row>
    <row r="153" spans="2:14" ht="12.75">
      <c r="B153" s="437"/>
      <c r="C153" s="437"/>
      <c r="D153" s="437"/>
      <c r="E153" s="437"/>
      <c r="F153" s="437"/>
      <c r="G153" s="437"/>
      <c r="H153" s="437"/>
      <c r="I153" s="437"/>
      <c r="J153" s="437"/>
      <c r="K153" s="437"/>
      <c r="L153" s="437"/>
      <c r="M153" s="437"/>
      <c r="N153" s="437"/>
    </row>
    <row r="154" spans="2:14" ht="12.75">
      <c r="B154" s="437"/>
      <c r="C154" s="437"/>
      <c r="D154" s="437"/>
      <c r="E154" s="437"/>
      <c r="F154" s="437"/>
      <c r="G154" s="437"/>
      <c r="H154" s="437"/>
      <c r="I154" s="437"/>
      <c r="J154" s="437"/>
      <c r="K154" s="437"/>
      <c r="L154" s="437"/>
      <c r="M154" s="437"/>
      <c r="N154" s="437"/>
    </row>
    <row r="155" spans="2:14" ht="12.75">
      <c r="B155" s="437"/>
      <c r="C155" s="437"/>
      <c r="D155" s="437"/>
      <c r="E155" s="437"/>
      <c r="F155" s="437"/>
      <c r="G155" s="437"/>
      <c r="H155" s="437"/>
      <c r="I155" s="437"/>
      <c r="J155" s="437"/>
      <c r="K155" s="437"/>
      <c r="L155" s="437"/>
      <c r="M155" s="437"/>
      <c r="N155" s="437"/>
    </row>
    <row r="156" spans="2:14" ht="12.75">
      <c r="B156" s="437"/>
      <c r="C156" s="437"/>
      <c r="D156" s="437"/>
      <c r="E156" s="437"/>
      <c r="F156" s="437"/>
      <c r="G156" s="437"/>
      <c r="H156" s="437"/>
      <c r="I156" s="437"/>
      <c r="J156" s="437"/>
      <c r="K156" s="437"/>
      <c r="L156" s="437"/>
      <c r="M156" s="437"/>
      <c r="N156" s="437"/>
    </row>
    <row r="157" spans="2:14" ht="12.75">
      <c r="B157" s="437"/>
      <c r="C157" s="437"/>
      <c r="D157" s="437"/>
      <c r="E157" s="437"/>
      <c r="F157" s="437"/>
      <c r="G157" s="437"/>
      <c r="H157" s="437"/>
      <c r="I157" s="437"/>
      <c r="J157" s="437"/>
      <c r="K157" s="437"/>
      <c r="L157" s="437"/>
      <c r="M157" s="437"/>
      <c r="N157" s="437"/>
    </row>
    <row r="158" spans="2:14" ht="12.75">
      <c r="B158" s="437"/>
      <c r="C158" s="437"/>
      <c r="D158" s="437"/>
      <c r="E158" s="437"/>
      <c r="F158" s="437"/>
      <c r="G158" s="437"/>
      <c r="H158" s="437"/>
      <c r="I158" s="437"/>
      <c r="J158" s="437"/>
      <c r="K158" s="437"/>
      <c r="L158" s="437"/>
      <c r="M158" s="437"/>
      <c r="N158" s="437"/>
    </row>
    <row r="159" spans="2:14" ht="12.75">
      <c r="B159" s="437"/>
      <c r="C159" s="437"/>
      <c r="D159" s="437"/>
      <c r="E159" s="437"/>
      <c r="F159" s="437"/>
      <c r="G159" s="437"/>
      <c r="H159" s="437"/>
      <c r="I159" s="437"/>
      <c r="J159" s="437"/>
      <c r="K159" s="437"/>
      <c r="L159" s="437"/>
      <c r="M159" s="437"/>
      <c r="N159" s="437"/>
    </row>
    <row r="160" spans="2:14" ht="12.75">
      <c r="B160" s="437"/>
      <c r="C160" s="437"/>
      <c r="D160" s="437"/>
      <c r="E160" s="437"/>
      <c r="F160" s="437"/>
      <c r="G160" s="437"/>
      <c r="H160" s="437"/>
      <c r="I160" s="437"/>
      <c r="J160" s="437"/>
      <c r="K160" s="437"/>
      <c r="L160" s="437"/>
      <c r="M160" s="437"/>
      <c r="N160" s="437"/>
    </row>
    <row r="161" spans="2:14" ht="12.75">
      <c r="B161" s="437"/>
      <c r="C161" s="437"/>
      <c r="D161" s="437"/>
      <c r="E161" s="437"/>
      <c r="F161" s="437"/>
      <c r="G161" s="437"/>
      <c r="H161" s="437"/>
      <c r="I161" s="437"/>
      <c r="J161" s="437"/>
      <c r="K161" s="437"/>
      <c r="L161" s="437"/>
      <c r="M161" s="437"/>
      <c r="N161" s="437"/>
    </row>
    <row r="162" spans="2:14" ht="12.75">
      <c r="B162" s="437"/>
      <c r="C162" s="437"/>
      <c r="D162" s="437"/>
      <c r="E162" s="437"/>
      <c r="F162" s="437"/>
      <c r="G162" s="437"/>
      <c r="H162" s="437"/>
      <c r="I162" s="437"/>
      <c r="J162" s="437"/>
      <c r="K162" s="437"/>
      <c r="L162" s="437"/>
      <c r="M162" s="437"/>
      <c r="N162" s="437"/>
    </row>
    <row r="163" spans="2:14" ht="12.75">
      <c r="B163" s="437"/>
      <c r="C163" s="437"/>
      <c r="D163" s="437"/>
      <c r="E163" s="437"/>
      <c r="F163" s="437"/>
      <c r="G163" s="437"/>
      <c r="H163" s="437"/>
      <c r="I163" s="437"/>
      <c r="J163" s="437"/>
      <c r="K163" s="437"/>
      <c r="L163" s="437"/>
      <c r="M163" s="437"/>
      <c r="N163" s="437"/>
    </row>
    <row r="164" spans="2:14" ht="12.75">
      <c r="B164" s="437"/>
      <c r="C164" s="437"/>
      <c r="D164" s="437"/>
      <c r="E164" s="437"/>
      <c r="F164" s="437"/>
      <c r="G164" s="437"/>
      <c r="H164" s="437"/>
      <c r="I164" s="437"/>
      <c r="J164" s="437"/>
      <c r="K164" s="437"/>
      <c r="L164" s="437"/>
      <c r="M164" s="437"/>
      <c r="N164" s="437"/>
    </row>
    <row r="165" spans="2:14" ht="12.75">
      <c r="B165" s="437"/>
      <c r="C165" s="437"/>
      <c r="D165" s="437"/>
      <c r="E165" s="437"/>
      <c r="F165" s="437"/>
      <c r="G165" s="437"/>
      <c r="H165" s="437"/>
      <c r="I165" s="437"/>
      <c r="J165" s="437"/>
      <c r="K165" s="437"/>
      <c r="L165" s="437"/>
      <c r="M165" s="437"/>
      <c r="N165" s="437"/>
    </row>
    <row r="166" spans="2:14" ht="12.75">
      <c r="B166" s="437"/>
      <c r="C166" s="437"/>
      <c r="D166" s="437"/>
      <c r="E166" s="437"/>
      <c r="F166" s="437"/>
      <c r="G166" s="437"/>
      <c r="H166" s="437"/>
      <c r="I166" s="437"/>
      <c r="J166" s="437"/>
      <c r="K166" s="437"/>
      <c r="L166" s="437"/>
      <c r="M166" s="437"/>
      <c r="N166" s="437"/>
    </row>
    <row r="167" spans="2:14" ht="12.75">
      <c r="B167" s="437"/>
      <c r="C167" s="437"/>
      <c r="D167" s="437"/>
      <c r="E167" s="437"/>
      <c r="F167" s="437"/>
      <c r="G167" s="437"/>
      <c r="H167" s="437"/>
      <c r="I167" s="437"/>
      <c r="J167" s="437"/>
      <c r="K167" s="437"/>
      <c r="L167" s="437"/>
      <c r="M167" s="437"/>
      <c r="N167" s="437"/>
    </row>
    <row r="168" spans="2:14" ht="12.75">
      <c r="B168" s="437"/>
      <c r="C168" s="437"/>
      <c r="D168" s="437"/>
      <c r="E168" s="437"/>
      <c r="F168" s="437"/>
      <c r="G168" s="437"/>
      <c r="H168" s="437"/>
      <c r="I168" s="437"/>
      <c r="J168" s="437"/>
      <c r="K168" s="437"/>
      <c r="L168" s="437"/>
      <c r="M168" s="437"/>
      <c r="N168" s="437"/>
    </row>
    <row r="169" spans="2:14" ht="12.75">
      <c r="B169" s="437"/>
      <c r="C169" s="437"/>
      <c r="D169" s="437"/>
      <c r="E169" s="437"/>
      <c r="F169" s="437"/>
      <c r="G169" s="437"/>
      <c r="H169" s="437"/>
      <c r="I169" s="437"/>
      <c r="J169" s="437"/>
      <c r="K169" s="437"/>
      <c r="L169" s="437"/>
      <c r="M169" s="437"/>
      <c r="N169" s="437"/>
    </row>
    <row r="170" spans="2:14" ht="12.75">
      <c r="B170" s="437"/>
      <c r="C170" s="437"/>
      <c r="D170" s="437"/>
      <c r="E170" s="437"/>
      <c r="F170" s="437"/>
      <c r="G170" s="437"/>
      <c r="H170" s="437"/>
      <c r="I170" s="437"/>
      <c r="J170" s="437"/>
      <c r="K170" s="437"/>
      <c r="L170" s="437"/>
      <c r="M170" s="437"/>
      <c r="N170" s="437"/>
    </row>
    <row r="171" spans="2:14" ht="12.75">
      <c r="B171" s="437"/>
      <c r="C171" s="437"/>
      <c r="D171" s="437"/>
      <c r="E171" s="437"/>
      <c r="F171" s="437"/>
      <c r="G171" s="437"/>
      <c r="H171" s="437"/>
      <c r="I171" s="437"/>
      <c r="J171" s="437"/>
      <c r="K171" s="437"/>
      <c r="L171" s="437"/>
      <c r="M171" s="437"/>
      <c r="N171" s="437"/>
    </row>
    <row r="172" spans="2:14" ht="12.75">
      <c r="B172" s="437"/>
      <c r="C172" s="437"/>
      <c r="D172" s="437"/>
      <c r="E172" s="437"/>
      <c r="F172" s="437"/>
      <c r="G172" s="437"/>
      <c r="H172" s="437"/>
      <c r="I172" s="437"/>
      <c r="J172" s="437"/>
      <c r="K172" s="437"/>
      <c r="L172" s="437"/>
      <c r="M172" s="437"/>
      <c r="N172" s="437"/>
    </row>
    <row r="173" spans="2:14" ht="12.75">
      <c r="B173" s="437"/>
      <c r="C173" s="437"/>
      <c r="D173" s="437"/>
      <c r="E173" s="437"/>
      <c r="F173" s="437"/>
      <c r="G173" s="437"/>
      <c r="H173" s="437"/>
      <c r="I173" s="437"/>
      <c r="J173" s="437"/>
      <c r="K173" s="437"/>
      <c r="L173" s="437"/>
      <c r="M173" s="437"/>
      <c r="N173" s="437"/>
    </row>
    <row r="174" spans="2:14" ht="12.75">
      <c r="B174" s="437"/>
      <c r="C174" s="437"/>
      <c r="D174" s="437"/>
      <c r="E174" s="437"/>
      <c r="F174" s="437"/>
      <c r="G174" s="437"/>
      <c r="H174" s="437"/>
      <c r="I174" s="437"/>
      <c r="J174" s="437"/>
      <c r="K174" s="437"/>
      <c r="L174" s="437"/>
      <c r="M174" s="437"/>
      <c r="N174" s="437"/>
    </row>
    <row r="175" spans="2:14" ht="12.75">
      <c r="B175" s="437"/>
      <c r="C175" s="437"/>
      <c r="D175" s="437"/>
      <c r="E175" s="437"/>
      <c r="F175" s="437"/>
      <c r="G175" s="437"/>
      <c r="H175" s="437"/>
      <c r="I175" s="437"/>
      <c r="J175" s="437"/>
      <c r="K175" s="437"/>
      <c r="L175" s="437"/>
      <c r="M175" s="437"/>
      <c r="N175" s="437"/>
    </row>
    <row r="176" spans="2:14" ht="12.75">
      <c r="B176" s="437"/>
      <c r="C176" s="437"/>
      <c r="D176" s="437"/>
      <c r="E176" s="437"/>
      <c r="F176" s="437"/>
      <c r="G176" s="437"/>
      <c r="H176" s="437"/>
      <c r="I176" s="437"/>
      <c r="J176" s="437"/>
      <c r="K176" s="437"/>
      <c r="L176" s="437"/>
      <c r="M176" s="437"/>
      <c r="N176" s="437"/>
    </row>
    <row r="177" spans="2:14" ht="12.75">
      <c r="B177" s="437"/>
      <c r="C177" s="437"/>
      <c r="D177" s="437"/>
      <c r="E177" s="437"/>
      <c r="F177" s="437"/>
      <c r="G177" s="437"/>
      <c r="H177" s="437"/>
      <c r="I177" s="437"/>
      <c r="J177" s="437"/>
      <c r="K177" s="437"/>
      <c r="L177" s="437"/>
      <c r="M177" s="437"/>
      <c r="N177" s="437"/>
    </row>
    <row r="178" spans="2:14" ht="12.75">
      <c r="B178" s="437"/>
      <c r="C178" s="437"/>
      <c r="D178" s="437"/>
      <c r="E178" s="437"/>
      <c r="F178" s="437"/>
      <c r="G178" s="437"/>
      <c r="H178" s="437"/>
      <c r="I178" s="437"/>
      <c r="J178" s="437"/>
      <c r="K178" s="437"/>
      <c r="L178" s="437"/>
      <c r="M178" s="437"/>
      <c r="N178" s="437"/>
    </row>
    <row r="179" spans="2:14" ht="12.75">
      <c r="B179" s="437"/>
      <c r="C179" s="437"/>
      <c r="D179" s="437"/>
      <c r="E179" s="437"/>
      <c r="F179" s="437"/>
      <c r="G179" s="437"/>
      <c r="H179" s="437"/>
      <c r="I179" s="437"/>
      <c r="J179" s="437"/>
      <c r="K179" s="437"/>
      <c r="L179" s="437"/>
      <c r="M179" s="437"/>
      <c r="N179" s="437"/>
    </row>
    <row r="180" spans="2:14" ht="12.75">
      <c r="B180" s="437"/>
      <c r="C180" s="437"/>
      <c r="D180" s="437"/>
      <c r="E180" s="437"/>
      <c r="F180" s="437"/>
      <c r="G180" s="437"/>
      <c r="H180" s="437"/>
      <c r="I180" s="437"/>
      <c r="J180" s="437"/>
      <c r="K180" s="437"/>
      <c r="L180" s="437"/>
      <c r="M180" s="437"/>
      <c r="N180" s="437"/>
    </row>
    <row r="181" spans="2:14" ht="12.75">
      <c r="B181" s="437"/>
      <c r="C181" s="437"/>
      <c r="D181" s="437"/>
      <c r="E181" s="437"/>
      <c r="F181" s="437"/>
      <c r="G181" s="437"/>
      <c r="H181" s="437"/>
      <c r="I181" s="437"/>
      <c r="J181" s="437"/>
      <c r="K181" s="437"/>
      <c r="L181" s="437"/>
      <c r="M181" s="437"/>
      <c r="N181" s="437"/>
    </row>
    <row r="182" spans="2:14" ht="12.75">
      <c r="B182" s="437"/>
      <c r="C182" s="437"/>
      <c r="D182" s="437"/>
      <c r="E182" s="437"/>
      <c r="F182" s="437"/>
      <c r="G182" s="437"/>
      <c r="H182" s="437"/>
      <c r="I182" s="437"/>
      <c r="J182" s="437"/>
      <c r="K182" s="437"/>
      <c r="L182" s="437"/>
      <c r="M182" s="437"/>
      <c r="N182" s="437"/>
    </row>
    <row r="183" spans="2:14" ht="12.75">
      <c r="B183" s="437"/>
      <c r="C183" s="437"/>
      <c r="D183" s="437"/>
      <c r="E183" s="437"/>
      <c r="F183" s="437"/>
      <c r="G183" s="437"/>
      <c r="H183" s="437"/>
      <c r="I183" s="437"/>
      <c r="J183" s="437"/>
      <c r="K183" s="437"/>
      <c r="L183" s="437"/>
      <c r="M183" s="437"/>
      <c r="N183" s="437"/>
    </row>
    <row r="184" spans="2:14" ht="12.75">
      <c r="B184" s="437"/>
      <c r="C184" s="437"/>
      <c r="D184" s="437"/>
      <c r="E184" s="437"/>
      <c r="F184" s="437"/>
      <c r="G184" s="437"/>
      <c r="H184" s="437"/>
      <c r="I184" s="437"/>
      <c r="J184" s="437"/>
      <c r="K184" s="437"/>
      <c r="L184" s="437"/>
      <c r="M184" s="437"/>
      <c r="N184" s="437"/>
    </row>
    <row r="185" spans="2:14" ht="12.75">
      <c r="B185" s="437"/>
      <c r="C185" s="437"/>
      <c r="D185" s="437"/>
      <c r="E185" s="437"/>
      <c r="F185" s="437"/>
      <c r="G185" s="437"/>
      <c r="H185" s="437"/>
      <c r="I185" s="437"/>
      <c r="J185" s="437"/>
      <c r="K185" s="437"/>
      <c r="L185" s="437"/>
      <c r="M185" s="437"/>
      <c r="N185" s="437"/>
    </row>
    <row r="186" spans="2:14" ht="12.75">
      <c r="B186" s="437"/>
      <c r="C186" s="437"/>
      <c r="D186" s="437"/>
      <c r="E186" s="437"/>
      <c r="F186" s="437"/>
      <c r="G186" s="437"/>
      <c r="H186" s="437"/>
      <c r="I186" s="437"/>
      <c r="J186" s="437"/>
      <c r="K186" s="437"/>
      <c r="L186" s="437"/>
      <c r="M186" s="437"/>
      <c r="N186" s="437"/>
    </row>
    <row r="187" spans="2:14" ht="12.75">
      <c r="B187" s="437"/>
      <c r="C187" s="437"/>
      <c r="D187" s="437"/>
      <c r="E187" s="437"/>
      <c r="F187" s="437"/>
      <c r="G187" s="437"/>
      <c r="H187" s="437"/>
      <c r="I187" s="437"/>
      <c r="J187" s="437"/>
      <c r="K187" s="437"/>
      <c r="L187" s="437"/>
      <c r="M187" s="437"/>
      <c r="N187" s="437"/>
    </row>
    <row r="188" spans="2:14" ht="12.75">
      <c r="B188" s="437"/>
      <c r="C188" s="437"/>
      <c r="D188" s="437"/>
      <c r="E188" s="437"/>
      <c r="F188" s="437"/>
      <c r="G188" s="437"/>
      <c r="H188" s="437"/>
      <c r="I188" s="437"/>
      <c r="J188" s="437"/>
      <c r="K188" s="437"/>
      <c r="L188" s="437"/>
      <c r="M188" s="437"/>
      <c r="N188" s="437"/>
    </row>
    <row r="189" spans="2:14" ht="12.75">
      <c r="B189" s="437"/>
      <c r="C189" s="437"/>
      <c r="D189" s="437"/>
      <c r="E189" s="437"/>
      <c r="F189" s="437"/>
      <c r="G189" s="437"/>
      <c r="H189" s="437"/>
      <c r="I189" s="437"/>
      <c r="J189" s="437"/>
      <c r="K189" s="437"/>
      <c r="L189" s="437"/>
      <c r="M189" s="437"/>
      <c r="N189" s="437"/>
    </row>
    <row r="190" spans="2:14" ht="12.75">
      <c r="B190" s="437"/>
      <c r="C190" s="437"/>
      <c r="D190" s="437"/>
      <c r="E190" s="437"/>
      <c r="F190" s="437"/>
      <c r="G190" s="437"/>
      <c r="H190" s="437"/>
      <c r="I190" s="437"/>
      <c r="J190" s="437"/>
      <c r="K190" s="437"/>
      <c r="L190" s="437"/>
      <c r="M190" s="437"/>
      <c r="N190" s="437"/>
    </row>
    <row r="191" spans="2:14" ht="12.75">
      <c r="B191" s="437"/>
      <c r="C191" s="437"/>
      <c r="D191" s="437"/>
      <c r="E191" s="437"/>
      <c r="F191" s="437"/>
      <c r="G191" s="437"/>
      <c r="H191" s="437"/>
      <c r="I191" s="437"/>
      <c r="J191" s="437"/>
      <c r="K191" s="437"/>
      <c r="L191" s="437"/>
      <c r="M191" s="437"/>
      <c r="N191" s="437"/>
    </row>
    <row r="192" spans="2:14" ht="12.75">
      <c r="B192" s="437"/>
      <c r="C192" s="437"/>
      <c r="D192" s="437"/>
      <c r="E192" s="437"/>
      <c r="F192" s="437"/>
      <c r="G192" s="437"/>
      <c r="H192" s="437"/>
      <c r="I192" s="437"/>
      <c r="J192" s="437"/>
      <c r="K192" s="437"/>
      <c r="L192" s="437"/>
      <c r="M192" s="437"/>
      <c r="N192" s="437"/>
    </row>
    <row r="193" spans="2:14" ht="12.75">
      <c r="B193" s="437"/>
      <c r="C193" s="437"/>
      <c r="D193" s="437"/>
      <c r="E193" s="437"/>
      <c r="F193" s="437"/>
      <c r="G193" s="437"/>
      <c r="H193" s="437"/>
      <c r="I193" s="437"/>
      <c r="J193" s="437"/>
      <c r="K193" s="437"/>
      <c r="L193" s="437"/>
      <c r="M193" s="437"/>
      <c r="N193" s="437"/>
    </row>
    <row r="194" spans="2:14" ht="12.75">
      <c r="B194" s="437"/>
      <c r="C194" s="437"/>
      <c r="D194" s="437"/>
      <c r="E194" s="437"/>
      <c r="F194" s="437"/>
      <c r="G194" s="437"/>
      <c r="H194" s="437"/>
      <c r="I194" s="437"/>
      <c r="J194" s="437"/>
      <c r="K194" s="437"/>
      <c r="L194" s="437"/>
      <c r="M194" s="437"/>
      <c r="N194" s="437"/>
    </row>
    <row r="195" spans="2:14" ht="12.75">
      <c r="B195" s="437"/>
      <c r="C195" s="437"/>
      <c r="D195" s="437"/>
      <c r="E195" s="437"/>
      <c r="F195" s="437"/>
      <c r="G195" s="437"/>
      <c r="H195" s="437"/>
      <c r="I195" s="437"/>
      <c r="J195" s="437"/>
      <c r="K195" s="437"/>
      <c r="L195" s="437"/>
      <c r="M195" s="437"/>
      <c r="N195" s="437"/>
    </row>
    <row r="196" spans="2:14" ht="12.75">
      <c r="B196" s="437"/>
      <c r="C196" s="437"/>
      <c r="D196" s="437"/>
      <c r="E196" s="437"/>
      <c r="F196" s="437"/>
      <c r="G196" s="437"/>
      <c r="H196" s="437"/>
      <c r="I196" s="437"/>
      <c r="J196" s="437"/>
      <c r="K196" s="437"/>
      <c r="L196" s="437"/>
      <c r="M196" s="437"/>
      <c r="N196" s="437"/>
    </row>
    <row r="197" spans="2:14" ht="12.75">
      <c r="B197" s="437"/>
      <c r="C197" s="437"/>
      <c r="D197" s="437"/>
      <c r="E197" s="437"/>
      <c r="F197" s="437"/>
      <c r="G197" s="437"/>
      <c r="H197" s="437"/>
      <c r="I197" s="437"/>
      <c r="J197" s="437"/>
      <c r="K197" s="437"/>
      <c r="L197" s="437"/>
      <c r="M197" s="437"/>
      <c r="N197" s="437"/>
    </row>
    <row r="198" spans="2:14" ht="12.75">
      <c r="B198" s="437"/>
      <c r="C198" s="437"/>
      <c r="D198" s="437"/>
      <c r="E198" s="437"/>
      <c r="F198" s="437"/>
      <c r="G198" s="437"/>
      <c r="H198" s="437"/>
      <c r="I198" s="437"/>
      <c r="J198" s="437"/>
      <c r="K198" s="437"/>
      <c r="L198" s="437"/>
      <c r="M198" s="437"/>
      <c r="N198" s="437"/>
    </row>
    <row r="199" spans="2:14" ht="12.75">
      <c r="B199" s="437"/>
      <c r="C199" s="437"/>
      <c r="D199" s="437"/>
      <c r="E199" s="437"/>
      <c r="F199" s="437"/>
      <c r="G199" s="437"/>
      <c r="H199" s="437"/>
      <c r="I199" s="437"/>
      <c r="J199" s="437"/>
      <c r="K199" s="437"/>
      <c r="L199" s="437"/>
      <c r="M199" s="437"/>
      <c r="N199" s="437"/>
    </row>
    <row r="200" spans="2:14" ht="12.75">
      <c r="B200" s="437"/>
      <c r="C200" s="437"/>
      <c r="D200" s="437"/>
      <c r="E200" s="437"/>
      <c r="F200" s="437"/>
      <c r="G200" s="437"/>
      <c r="H200" s="437"/>
      <c r="I200" s="437"/>
      <c r="J200" s="437"/>
      <c r="K200" s="437"/>
      <c r="L200" s="437"/>
      <c r="M200" s="437"/>
      <c r="N200" s="437"/>
    </row>
    <row r="201" spans="2:14" ht="12.75">
      <c r="B201" s="437"/>
      <c r="C201" s="437"/>
      <c r="D201" s="437"/>
      <c r="E201" s="437"/>
      <c r="F201" s="437"/>
      <c r="G201" s="437"/>
      <c r="H201" s="437"/>
      <c r="I201" s="437"/>
      <c r="J201" s="437"/>
      <c r="K201" s="437"/>
      <c r="L201" s="437"/>
      <c r="M201" s="437"/>
      <c r="N201" s="437"/>
    </row>
    <row r="202" spans="2:14" ht="12.75">
      <c r="B202" s="437"/>
      <c r="C202" s="437"/>
      <c r="D202" s="437"/>
      <c r="E202" s="437"/>
      <c r="F202" s="437"/>
      <c r="G202" s="437"/>
      <c r="H202" s="437"/>
      <c r="I202" s="437"/>
      <c r="J202" s="437"/>
      <c r="K202" s="437"/>
      <c r="L202" s="437"/>
      <c r="M202" s="437"/>
      <c r="N202" s="437"/>
    </row>
    <row r="203" spans="2:14" ht="12.75">
      <c r="B203" s="437"/>
      <c r="C203" s="437"/>
      <c r="D203" s="437"/>
      <c r="E203" s="437"/>
      <c r="F203" s="437"/>
      <c r="G203" s="437"/>
      <c r="H203" s="437"/>
      <c r="I203" s="437"/>
      <c r="J203" s="437"/>
      <c r="K203" s="437"/>
      <c r="L203" s="437"/>
      <c r="M203" s="437"/>
      <c r="N203" s="437"/>
    </row>
    <row r="204" spans="2:14" ht="12.75">
      <c r="B204" s="437"/>
      <c r="C204" s="437"/>
      <c r="D204" s="437"/>
      <c r="E204" s="437"/>
      <c r="F204" s="437"/>
      <c r="G204" s="437"/>
      <c r="H204" s="437"/>
      <c r="I204" s="437"/>
      <c r="J204" s="437"/>
      <c r="K204" s="437"/>
      <c r="L204" s="437"/>
      <c r="M204" s="437"/>
      <c r="N204" s="437"/>
    </row>
    <row r="205" spans="2:14" ht="12.75">
      <c r="B205" s="437"/>
      <c r="C205" s="437"/>
      <c r="D205" s="437"/>
      <c r="E205" s="437"/>
      <c r="F205" s="437"/>
      <c r="G205" s="437"/>
      <c r="H205" s="437"/>
      <c r="I205" s="437"/>
      <c r="J205" s="437"/>
      <c r="K205" s="437"/>
      <c r="L205" s="437"/>
      <c r="M205" s="437"/>
      <c r="N205" s="437"/>
    </row>
    <row r="206" spans="2:14" ht="12.75">
      <c r="B206" s="437"/>
      <c r="C206" s="437"/>
      <c r="D206" s="437"/>
      <c r="E206" s="437"/>
      <c r="F206" s="437"/>
      <c r="G206" s="437"/>
      <c r="H206" s="437"/>
      <c r="I206" s="437"/>
      <c r="J206" s="437"/>
      <c r="K206" s="437"/>
      <c r="L206" s="437"/>
      <c r="M206" s="437"/>
      <c r="N206" s="437"/>
    </row>
    <row r="207" spans="2:14" ht="12.75">
      <c r="B207" s="437"/>
      <c r="C207" s="437"/>
      <c r="D207" s="437"/>
      <c r="E207" s="437"/>
      <c r="F207" s="437"/>
      <c r="G207" s="437"/>
      <c r="H207" s="437"/>
      <c r="I207" s="437"/>
      <c r="J207" s="437"/>
      <c r="K207" s="437"/>
      <c r="L207" s="437"/>
      <c r="M207" s="437"/>
      <c r="N207" s="437"/>
    </row>
    <row r="208" spans="2:14" ht="12.75">
      <c r="B208" s="437"/>
      <c r="C208" s="437"/>
      <c r="D208" s="437"/>
      <c r="E208" s="437"/>
      <c r="F208" s="437"/>
      <c r="G208" s="437"/>
      <c r="H208" s="437"/>
      <c r="I208" s="437"/>
      <c r="J208" s="437"/>
      <c r="K208" s="437"/>
      <c r="L208" s="437"/>
      <c r="M208" s="437"/>
      <c r="N208" s="437"/>
    </row>
    <row r="209" spans="2:14" ht="12.75">
      <c r="B209" s="437"/>
      <c r="C209" s="437"/>
      <c r="D209" s="437"/>
      <c r="E209" s="437"/>
      <c r="F209" s="437"/>
      <c r="G209" s="437"/>
      <c r="H209" s="437"/>
      <c r="I209" s="437"/>
      <c r="J209" s="437"/>
      <c r="K209" s="437"/>
      <c r="L209" s="437"/>
      <c r="M209" s="437"/>
      <c r="N209" s="437"/>
    </row>
    <row r="210" spans="2:14" ht="12.75">
      <c r="B210" s="437"/>
      <c r="C210" s="437"/>
      <c r="D210" s="437"/>
      <c r="E210" s="437"/>
      <c r="F210" s="437"/>
      <c r="G210" s="437"/>
      <c r="H210" s="437"/>
      <c r="I210" s="437"/>
      <c r="J210" s="437"/>
      <c r="K210" s="437"/>
      <c r="L210" s="437"/>
      <c r="M210" s="437"/>
      <c r="N210" s="437"/>
    </row>
    <row r="211" spans="2:14" ht="12.75">
      <c r="B211" s="437"/>
      <c r="C211" s="437"/>
      <c r="D211" s="437"/>
      <c r="E211" s="437"/>
      <c r="F211" s="437"/>
      <c r="G211" s="437"/>
      <c r="H211" s="437"/>
      <c r="I211" s="437"/>
      <c r="J211" s="437"/>
      <c r="K211" s="437"/>
      <c r="L211" s="437"/>
      <c r="M211" s="437"/>
      <c r="N211" s="437"/>
    </row>
    <row r="212" spans="2:14" ht="12.75">
      <c r="B212" s="437"/>
      <c r="C212" s="437"/>
      <c r="D212" s="437"/>
      <c r="E212" s="437"/>
      <c r="F212" s="437"/>
      <c r="G212" s="437"/>
      <c r="H212" s="437"/>
      <c r="I212" s="437"/>
      <c r="J212" s="437"/>
      <c r="K212" s="437"/>
      <c r="L212" s="437"/>
      <c r="M212" s="437"/>
      <c r="N212" s="437"/>
    </row>
    <row r="213" spans="2:14" ht="12.75">
      <c r="B213" s="437"/>
      <c r="C213" s="437"/>
      <c r="D213" s="437"/>
      <c r="E213" s="437"/>
      <c r="F213" s="437"/>
      <c r="G213" s="437"/>
      <c r="H213" s="437"/>
      <c r="I213" s="437"/>
      <c r="J213" s="437"/>
      <c r="K213" s="437"/>
      <c r="L213" s="437"/>
      <c r="M213" s="437"/>
      <c r="N213" s="437"/>
    </row>
    <row r="214" spans="2:14" ht="12.75">
      <c r="B214" s="437"/>
      <c r="C214" s="437"/>
      <c r="D214" s="437"/>
      <c r="E214" s="437"/>
      <c r="F214" s="437"/>
      <c r="G214" s="437"/>
      <c r="H214" s="437"/>
      <c r="I214" s="437"/>
      <c r="J214" s="437"/>
      <c r="K214" s="437"/>
      <c r="L214" s="437"/>
      <c r="M214" s="437"/>
      <c r="N214" s="437"/>
    </row>
    <row r="215" spans="2:14" ht="12.75">
      <c r="B215" s="437"/>
      <c r="C215" s="437"/>
      <c r="D215" s="437"/>
      <c r="E215" s="437"/>
      <c r="F215" s="437"/>
      <c r="G215" s="437"/>
      <c r="H215" s="437"/>
      <c r="I215" s="437"/>
      <c r="J215" s="437"/>
      <c r="K215" s="437"/>
      <c r="L215" s="437"/>
      <c r="M215" s="437"/>
      <c r="N215" s="437"/>
    </row>
    <row r="216" spans="2:14" ht="12.75">
      <c r="B216" s="437"/>
      <c r="C216" s="437"/>
      <c r="D216" s="437"/>
      <c r="E216" s="437"/>
      <c r="F216" s="437"/>
      <c r="G216" s="437"/>
      <c r="H216" s="437"/>
      <c r="I216" s="437"/>
      <c r="J216" s="437"/>
      <c r="K216" s="437"/>
      <c r="L216" s="437"/>
      <c r="M216" s="437"/>
      <c r="N216" s="437"/>
    </row>
    <row r="217" spans="2:14" ht="12.75">
      <c r="B217" s="437"/>
      <c r="C217" s="437"/>
      <c r="D217" s="437"/>
      <c r="E217" s="437"/>
      <c r="F217" s="437"/>
      <c r="G217" s="437"/>
      <c r="H217" s="437"/>
      <c r="I217" s="437"/>
      <c r="J217" s="437"/>
      <c r="K217" s="437"/>
      <c r="L217" s="437"/>
      <c r="M217" s="437"/>
      <c r="N217" s="437"/>
    </row>
    <row r="218" spans="2:14" ht="12.75">
      <c r="B218" s="437"/>
      <c r="C218" s="437"/>
      <c r="D218" s="437"/>
      <c r="E218" s="437"/>
      <c r="F218" s="437"/>
      <c r="G218" s="437"/>
      <c r="H218" s="437"/>
      <c r="I218" s="437"/>
      <c r="J218" s="437"/>
      <c r="K218" s="437"/>
      <c r="L218" s="437"/>
      <c r="M218" s="437"/>
      <c r="N218" s="437"/>
    </row>
    <row r="219" spans="2:14" ht="12.75">
      <c r="B219" s="437"/>
      <c r="C219" s="437"/>
      <c r="D219" s="437"/>
      <c r="E219" s="437"/>
      <c r="F219" s="437"/>
      <c r="G219" s="437"/>
      <c r="H219" s="437"/>
      <c r="I219" s="437"/>
      <c r="J219" s="437"/>
      <c r="K219" s="437"/>
      <c r="L219" s="437"/>
      <c r="M219" s="437"/>
      <c r="N219" s="437"/>
    </row>
    <row r="220" spans="2:14" ht="12.75">
      <c r="B220" s="437"/>
      <c r="C220" s="437"/>
      <c r="D220" s="437"/>
      <c r="E220" s="437"/>
      <c r="F220" s="437"/>
      <c r="G220" s="437"/>
      <c r="H220" s="437"/>
      <c r="I220" s="437"/>
      <c r="J220" s="437"/>
      <c r="K220" s="437"/>
      <c r="L220" s="437"/>
      <c r="M220" s="437"/>
      <c r="N220" s="437"/>
    </row>
    <row r="221" spans="2:14" ht="12.75">
      <c r="B221" s="437"/>
      <c r="C221" s="437"/>
      <c r="D221" s="437"/>
      <c r="E221" s="437"/>
      <c r="F221" s="437"/>
      <c r="G221" s="437"/>
      <c r="H221" s="437"/>
      <c r="I221" s="437"/>
      <c r="J221" s="437"/>
      <c r="K221" s="437"/>
      <c r="L221" s="437"/>
      <c r="M221" s="437"/>
      <c r="N221" s="437"/>
    </row>
    <row r="222" spans="2:14" ht="12.75">
      <c r="B222" s="437"/>
      <c r="C222" s="437"/>
      <c r="D222" s="437"/>
      <c r="E222" s="437"/>
      <c r="F222" s="437"/>
      <c r="G222" s="437"/>
      <c r="H222" s="437"/>
      <c r="I222" s="437"/>
      <c r="J222" s="437"/>
      <c r="K222" s="437"/>
      <c r="L222" s="437"/>
      <c r="M222" s="437"/>
      <c r="N222" s="437"/>
    </row>
    <row r="223" spans="2:14" ht="12.75">
      <c r="B223" s="437"/>
      <c r="C223" s="437"/>
      <c r="D223" s="437"/>
      <c r="E223" s="437"/>
      <c r="F223" s="437"/>
      <c r="G223" s="437"/>
      <c r="H223" s="437"/>
      <c r="I223" s="437"/>
      <c r="J223" s="437"/>
      <c r="K223" s="437"/>
      <c r="L223" s="437"/>
      <c r="M223" s="437"/>
      <c r="N223" s="437"/>
    </row>
    <row r="224" spans="2:14" ht="12.75">
      <c r="B224" s="437"/>
      <c r="C224" s="437"/>
      <c r="D224" s="437"/>
      <c r="E224" s="437"/>
      <c r="F224" s="437"/>
      <c r="G224" s="437"/>
      <c r="H224" s="437"/>
      <c r="I224" s="437"/>
      <c r="J224" s="437"/>
      <c r="K224" s="437"/>
      <c r="L224" s="437"/>
      <c r="M224" s="437"/>
      <c r="N224" s="437"/>
    </row>
    <row r="225" spans="2:14" ht="12.75">
      <c r="B225" s="437"/>
      <c r="C225" s="437"/>
      <c r="D225" s="437"/>
      <c r="E225" s="437"/>
      <c r="F225" s="437"/>
      <c r="G225" s="437"/>
      <c r="H225" s="437"/>
      <c r="I225" s="437"/>
      <c r="J225" s="437"/>
      <c r="K225" s="437"/>
      <c r="L225" s="437"/>
      <c r="M225" s="437"/>
      <c r="N225" s="437"/>
    </row>
    <row r="226" spans="2:14" ht="12.75">
      <c r="B226" s="437"/>
      <c r="C226" s="437"/>
      <c r="D226" s="437"/>
      <c r="E226" s="437"/>
      <c r="F226" s="437"/>
      <c r="G226" s="437"/>
      <c r="H226" s="437"/>
      <c r="I226" s="437"/>
      <c r="J226" s="437"/>
      <c r="K226" s="437"/>
      <c r="L226" s="437"/>
      <c r="M226" s="437"/>
      <c r="N226" s="437"/>
    </row>
    <row r="227" spans="2:14" ht="12.75">
      <c r="B227" s="437"/>
      <c r="C227" s="437"/>
      <c r="D227" s="437"/>
      <c r="E227" s="437"/>
      <c r="F227" s="437"/>
      <c r="G227" s="437"/>
      <c r="H227" s="437"/>
      <c r="I227" s="437"/>
      <c r="J227" s="437"/>
      <c r="K227" s="437"/>
      <c r="L227" s="437"/>
      <c r="M227" s="437"/>
      <c r="N227" s="437"/>
    </row>
    <row r="228" spans="2:14" ht="12.75">
      <c r="B228" s="437"/>
      <c r="C228" s="437"/>
      <c r="D228" s="437"/>
      <c r="E228" s="437"/>
      <c r="F228" s="437"/>
      <c r="G228" s="437"/>
      <c r="H228" s="437"/>
      <c r="I228" s="437"/>
      <c r="J228" s="437"/>
      <c r="K228" s="437"/>
      <c r="L228" s="437"/>
      <c r="M228" s="437"/>
      <c r="N228" s="437"/>
    </row>
    <row r="229" spans="2:14" ht="12.75">
      <c r="B229" s="437"/>
      <c r="C229" s="437"/>
      <c r="D229" s="437"/>
      <c r="E229" s="437"/>
      <c r="F229" s="437"/>
      <c r="G229" s="437"/>
      <c r="H229" s="437"/>
      <c r="I229" s="437"/>
      <c r="J229" s="437"/>
      <c r="K229" s="437"/>
      <c r="L229" s="437"/>
      <c r="M229" s="437"/>
      <c r="N229" s="437"/>
    </row>
    <row r="230" spans="2:14" ht="12.75">
      <c r="B230" s="437"/>
      <c r="C230" s="437"/>
      <c r="D230" s="437"/>
      <c r="E230" s="437"/>
      <c r="F230" s="437"/>
      <c r="G230" s="437"/>
      <c r="H230" s="437"/>
      <c r="I230" s="437"/>
      <c r="J230" s="437"/>
      <c r="K230" s="437"/>
      <c r="L230" s="437"/>
      <c r="M230" s="437"/>
      <c r="N230" s="437"/>
    </row>
    <row r="231" spans="2:14" ht="12.75">
      <c r="B231" s="437"/>
      <c r="C231" s="437"/>
      <c r="D231" s="437"/>
      <c r="E231" s="437"/>
      <c r="F231" s="437"/>
      <c r="G231" s="437"/>
      <c r="H231" s="437"/>
      <c r="I231" s="437"/>
      <c r="J231" s="437"/>
      <c r="K231" s="437"/>
      <c r="L231" s="437"/>
      <c r="M231" s="437"/>
      <c r="N231" s="437"/>
    </row>
    <row r="232" spans="2:14" ht="12.75">
      <c r="B232" s="437"/>
      <c r="C232" s="437"/>
      <c r="D232" s="437"/>
      <c r="E232" s="437"/>
      <c r="F232" s="437"/>
      <c r="G232" s="437"/>
      <c r="H232" s="437"/>
      <c r="I232" s="437"/>
      <c r="J232" s="437"/>
      <c r="K232" s="437"/>
      <c r="L232" s="437"/>
      <c r="M232" s="437"/>
      <c r="N232" s="437"/>
    </row>
    <row r="233" spans="2:14" ht="12.75">
      <c r="B233" s="437"/>
      <c r="C233" s="437"/>
      <c r="D233" s="437"/>
      <c r="E233" s="437"/>
      <c r="F233" s="437"/>
      <c r="G233" s="437"/>
      <c r="H233" s="437"/>
      <c r="I233" s="437"/>
      <c r="J233" s="437"/>
      <c r="K233" s="437"/>
      <c r="L233" s="437"/>
      <c r="M233" s="437"/>
      <c r="N233" s="437"/>
    </row>
    <row r="234" spans="2:14" ht="12.75">
      <c r="B234" s="437"/>
      <c r="C234" s="437"/>
      <c r="D234" s="437"/>
      <c r="E234" s="437"/>
      <c r="F234" s="437"/>
      <c r="G234" s="437"/>
      <c r="H234" s="437"/>
      <c r="I234" s="437"/>
      <c r="J234" s="437"/>
      <c r="K234" s="437"/>
      <c r="L234" s="437"/>
      <c r="M234" s="437"/>
      <c r="N234" s="437"/>
    </row>
    <row r="235" spans="2:14" ht="12.75">
      <c r="B235" s="437"/>
      <c r="C235" s="437"/>
      <c r="D235" s="437"/>
      <c r="E235" s="437"/>
      <c r="F235" s="437"/>
      <c r="G235" s="437"/>
      <c r="H235" s="437"/>
      <c r="I235" s="437"/>
      <c r="J235" s="437"/>
      <c r="K235" s="437"/>
      <c r="L235" s="437"/>
      <c r="M235" s="437"/>
      <c r="N235" s="437"/>
    </row>
    <row r="236" spans="2:14" ht="12.75">
      <c r="B236" s="437"/>
      <c r="C236" s="437"/>
      <c r="D236" s="437"/>
      <c r="E236" s="437"/>
      <c r="F236" s="437"/>
      <c r="G236" s="437"/>
      <c r="H236" s="437"/>
      <c r="I236" s="437"/>
      <c r="J236" s="437"/>
      <c r="K236" s="437"/>
      <c r="L236" s="437"/>
      <c r="M236" s="437"/>
      <c r="N236" s="437"/>
    </row>
    <row r="237" spans="2:14" ht="12.75">
      <c r="B237" s="437"/>
      <c r="C237" s="437"/>
      <c r="D237" s="437"/>
      <c r="E237" s="437"/>
      <c r="F237" s="437"/>
      <c r="G237" s="437"/>
      <c r="H237" s="437"/>
      <c r="I237" s="437"/>
      <c r="J237" s="437"/>
      <c r="K237" s="437"/>
      <c r="L237" s="437"/>
      <c r="M237" s="437"/>
      <c r="N237" s="437"/>
    </row>
    <row r="238" spans="2:14" ht="12.75">
      <c r="B238" s="437"/>
      <c r="C238" s="437"/>
      <c r="D238" s="437"/>
      <c r="E238" s="437"/>
      <c r="F238" s="437"/>
      <c r="G238" s="437"/>
      <c r="H238" s="437"/>
      <c r="I238" s="437"/>
      <c r="J238" s="437"/>
      <c r="K238" s="437"/>
      <c r="L238" s="437"/>
      <c r="M238" s="437"/>
      <c r="N238" s="437"/>
    </row>
    <row r="239" spans="2:14" ht="12.75">
      <c r="B239" s="437"/>
      <c r="C239" s="437"/>
      <c r="D239" s="437"/>
      <c r="E239" s="437"/>
      <c r="F239" s="437"/>
      <c r="G239" s="437"/>
      <c r="H239" s="437"/>
      <c r="I239" s="437"/>
      <c r="J239" s="437"/>
      <c r="K239" s="437"/>
      <c r="L239" s="437"/>
      <c r="M239" s="437"/>
      <c r="N239" s="437"/>
    </row>
    <row r="240" spans="2:14" ht="12.75">
      <c r="B240" s="437"/>
      <c r="C240" s="437"/>
      <c r="D240" s="437"/>
      <c r="E240" s="437"/>
      <c r="F240" s="437"/>
      <c r="G240" s="437"/>
      <c r="H240" s="437"/>
      <c r="I240" s="437"/>
      <c r="J240" s="437"/>
      <c r="K240" s="437"/>
      <c r="L240" s="437"/>
      <c r="M240" s="437"/>
      <c r="N240" s="437"/>
    </row>
    <row r="241" spans="2:14" ht="12.75">
      <c r="B241" s="437"/>
      <c r="C241" s="437"/>
      <c r="D241" s="437"/>
      <c r="E241" s="437"/>
      <c r="F241" s="437"/>
      <c r="G241" s="437"/>
      <c r="H241" s="437"/>
      <c r="I241" s="437"/>
      <c r="J241" s="437"/>
      <c r="K241" s="437"/>
      <c r="L241" s="437"/>
      <c r="M241" s="437"/>
      <c r="N241" s="437"/>
    </row>
    <row r="242" spans="2:14" ht="12.75">
      <c r="B242" s="437"/>
      <c r="C242" s="437"/>
      <c r="D242" s="437"/>
      <c r="E242" s="437"/>
      <c r="F242" s="437"/>
      <c r="G242" s="437"/>
      <c r="H242" s="437"/>
      <c r="I242" s="437"/>
      <c r="J242" s="437"/>
      <c r="K242" s="437"/>
      <c r="L242" s="437"/>
      <c r="M242" s="437"/>
      <c r="N242" s="437"/>
    </row>
    <row r="243" spans="2:14" ht="12.75">
      <c r="B243" s="437"/>
      <c r="C243" s="437"/>
      <c r="D243" s="437"/>
      <c r="E243" s="437"/>
      <c r="F243" s="437"/>
      <c r="G243" s="437"/>
      <c r="H243" s="437"/>
      <c r="I243" s="437"/>
      <c r="J243" s="437"/>
      <c r="K243" s="437"/>
      <c r="L243" s="437"/>
      <c r="M243" s="437"/>
      <c r="N243" s="437"/>
    </row>
    <row r="244" spans="2:14" ht="12.75">
      <c r="B244" s="437"/>
      <c r="C244" s="437"/>
      <c r="D244" s="437"/>
      <c r="E244" s="437"/>
      <c r="F244" s="437"/>
      <c r="G244" s="437"/>
      <c r="H244" s="437"/>
      <c r="I244" s="437"/>
      <c r="J244" s="437"/>
      <c r="K244" s="437"/>
      <c r="L244" s="437"/>
      <c r="M244" s="437"/>
      <c r="N244" s="437"/>
    </row>
    <row r="245" spans="2:14" ht="12.75">
      <c r="B245" s="437"/>
      <c r="C245" s="437"/>
      <c r="D245" s="437"/>
      <c r="E245" s="437"/>
      <c r="F245" s="437"/>
      <c r="G245" s="437"/>
      <c r="H245" s="437"/>
      <c r="I245" s="437"/>
      <c r="J245" s="437"/>
      <c r="K245" s="437"/>
      <c r="L245" s="437"/>
      <c r="M245" s="437"/>
      <c r="N245" s="437"/>
    </row>
    <row r="246" spans="2:14" ht="12.75">
      <c r="B246" s="437"/>
      <c r="C246" s="437"/>
      <c r="D246" s="437"/>
      <c r="E246" s="437"/>
      <c r="F246" s="437"/>
      <c r="G246" s="437"/>
      <c r="H246" s="437"/>
      <c r="I246" s="437"/>
      <c r="J246" s="437"/>
      <c r="K246" s="437"/>
      <c r="L246" s="437"/>
      <c r="M246" s="437"/>
      <c r="N246" s="437"/>
    </row>
    <row r="247" spans="2:14" ht="12.75">
      <c r="B247" s="437"/>
      <c r="C247" s="437"/>
      <c r="D247" s="437"/>
      <c r="E247" s="437"/>
      <c r="F247" s="437"/>
      <c r="G247" s="437"/>
      <c r="H247" s="437"/>
      <c r="I247" s="437"/>
      <c r="J247" s="437"/>
      <c r="K247" s="437"/>
      <c r="L247" s="437"/>
      <c r="M247" s="437"/>
      <c r="N247" s="437"/>
    </row>
    <row r="248" spans="2:14" ht="12.75">
      <c r="B248" s="437"/>
      <c r="C248" s="437"/>
      <c r="D248" s="437"/>
      <c r="E248" s="437"/>
      <c r="F248" s="437"/>
      <c r="G248" s="437"/>
      <c r="H248" s="437"/>
      <c r="I248" s="437"/>
      <c r="J248" s="437"/>
      <c r="K248" s="437"/>
      <c r="L248" s="437"/>
      <c r="M248" s="437"/>
      <c r="N248" s="437"/>
    </row>
    <row r="249" spans="2:14" ht="12.75">
      <c r="B249" s="437"/>
      <c r="C249" s="437"/>
      <c r="D249" s="437"/>
      <c r="E249" s="437"/>
      <c r="F249" s="437"/>
      <c r="G249" s="437"/>
      <c r="H249" s="437"/>
      <c r="I249" s="437"/>
      <c r="J249" s="437"/>
      <c r="K249" s="437"/>
      <c r="L249" s="437"/>
      <c r="M249" s="437"/>
      <c r="N249" s="437"/>
    </row>
    <row r="250" spans="2:14" ht="12.75">
      <c r="B250" s="437"/>
      <c r="C250" s="437"/>
      <c r="D250" s="437"/>
      <c r="E250" s="437"/>
      <c r="F250" s="437"/>
      <c r="G250" s="437"/>
      <c r="H250" s="437"/>
      <c r="I250" s="437"/>
      <c r="J250" s="437"/>
      <c r="K250" s="437"/>
      <c r="L250" s="437"/>
      <c r="M250" s="437"/>
      <c r="N250" s="437"/>
    </row>
    <row r="251" spans="2:14" ht="12.75">
      <c r="B251" s="437"/>
      <c r="C251" s="437"/>
      <c r="D251" s="437"/>
      <c r="E251" s="437"/>
      <c r="F251" s="437"/>
      <c r="G251" s="437"/>
      <c r="H251" s="437"/>
      <c r="I251" s="437"/>
      <c r="J251" s="437"/>
      <c r="K251" s="437"/>
      <c r="L251" s="437"/>
      <c r="M251" s="437"/>
      <c r="N251" s="437"/>
    </row>
    <row r="252" spans="2:14" ht="12.75">
      <c r="B252" s="437"/>
      <c r="C252" s="437"/>
      <c r="D252" s="437"/>
      <c r="E252" s="437"/>
      <c r="F252" s="437"/>
      <c r="G252" s="437"/>
      <c r="H252" s="437"/>
      <c r="I252" s="437"/>
      <c r="J252" s="437"/>
      <c r="K252" s="437"/>
      <c r="L252" s="437"/>
      <c r="M252" s="437"/>
      <c r="N252" s="437"/>
    </row>
    <row r="253" spans="2:14" ht="12.75">
      <c r="B253" s="437"/>
      <c r="C253" s="437"/>
      <c r="D253" s="437"/>
      <c r="E253" s="437"/>
      <c r="F253" s="437"/>
      <c r="G253" s="437"/>
      <c r="H253" s="437"/>
      <c r="I253" s="437"/>
      <c r="J253" s="437"/>
      <c r="K253" s="437"/>
      <c r="L253" s="437"/>
      <c r="M253" s="437"/>
      <c r="N253" s="437"/>
    </row>
    <row r="254" spans="2:14" ht="12.75">
      <c r="B254" s="437"/>
      <c r="C254" s="437"/>
      <c r="D254" s="437"/>
      <c r="E254" s="437"/>
      <c r="F254" s="437"/>
      <c r="G254" s="437"/>
      <c r="H254" s="437"/>
      <c r="I254" s="437"/>
      <c r="J254" s="437"/>
      <c r="K254" s="437"/>
      <c r="L254" s="437"/>
      <c r="M254" s="437"/>
      <c r="N254" s="437"/>
    </row>
    <row r="255" spans="2:14" ht="12.75">
      <c r="B255" s="437"/>
      <c r="C255" s="437"/>
      <c r="D255" s="437"/>
      <c r="E255" s="437"/>
      <c r="F255" s="437"/>
      <c r="G255" s="437"/>
      <c r="H255" s="437"/>
      <c r="I255" s="437"/>
      <c r="J255" s="437"/>
      <c r="K255" s="437"/>
      <c r="L255" s="437"/>
      <c r="M255" s="437"/>
      <c r="N255" s="437"/>
    </row>
    <row r="256" spans="2:14" ht="12.75">
      <c r="B256" s="437"/>
      <c r="C256" s="437"/>
      <c r="D256" s="437"/>
      <c r="E256" s="437"/>
      <c r="F256" s="437"/>
      <c r="G256" s="437"/>
      <c r="H256" s="437"/>
      <c r="I256" s="437"/>
      <c r="J256" s="437"/>
      <c r="K256" s="437"/>
      <c r="L256" s="437"/>
      <c r="M256" s="437"/>
      <c r="N256" s="437"/>
    </row>
    <row r="257" spans="2:14" ht="12.75">
      <c r="B257" s="437"/>
      <c r="C257" s="437"/>
      <c r="D257" s="437"/>
      <c r="E257" s="437"/>
      <c r="F257" s="437"/>
      <c r="G257" s="437"/>
      <c r="H257" s="437"/>
      <c r="I257" s="437"/>
      <c r="J257" s="437"/>
      <c r="K257" s="437"/>
      <c r="L257" s="437"/>
      <c r="M257" s="437"/>
      <c r="N257" s="437"/>
    </row>
    <row r="258" spans="2:14" ht="12.75">
      <c r="B258" s="437"/>
      <c r="C258" s="437"/>
      <c r="D258" s="437"/>
      <c r="E258" s="437"/>
      <c r="F258" s="437"/>
      <c r="G258" s="437"/>
      <c r="H258" s="437"/>
      <c r="I258" s="437"/>
      <c r="J258" s="437"/>
      <c r="K258" s="437"/>
      <c r="L258" s="437"/>
      <c r="M258" s="437"/>
      <c r="N258" s="437"/>
    </row>
    <row r="259" spans="2:14" ht="12.75">
      <c r="B259" s="437"/>
      <c r="C259" s="437"/>
      <c r="D259" s="437"/>
      <c r="E259" s="437"/>
      <c r="F259" s="437"/>
      <c r="G259" s="437"/>
      <c r="H259" s="437"/>
      <c r="I259" s="437"/>
      <c r="J259" s="437"/>
      <c r="K259" s="437"/>
      <c r="L259" s="437"/>
      <c r="M259" s="437"/>
      <c r="N259" s="437"/>
    </row>
    <row r="260" spans="2:14" ht="12.75">
      <c r="B260" s="437"/>
      <c r="C260" s="437"/>
      <c r="D260" s="437"/>
      <c r="E260" s="437"/>
      <c r="F260" s="437"/>
      <c r="G260" s="437"/>
      <c r="H260" s="437"/>
      <c r="I260" s="437"/>
      <c r="J260" s="437"/>
      <c r="K260" s="437"/>
      <c r="L260" s="437"/>
      <c r="M260" s="437"/>
      <c r="N260" s="437"/>
    </row>
    <row r="261" spans="2:14" ht="12.75">
      <c r="B261" s="437"/>
      <c r="C261" s="437"/>
      <c r="D261" s="437"/>
      <c r="E261" s="437"/>
      <c r="F261" s="437"/>
      <c r="G261" s="437"/>
      <c r="H261" s="437"/>
      <c r="I261" s="437"/>
      <c r="J261" s="437"/>
      <c r="K261" s="437"/>
      <c r="L261" s="437"/>
      <c r="M261" s="437"/>
      <c r="N261" s="437"/>
    </row>
    <row r="262" spans="2:14" ht="12.75">
      <c r="B262" s="437"/>
      <c r="C262" s="437"/>
      <c r="D262" s="437"/>
      <c r="E262" s="437"/>
      <c r="F262" s="437"/>
      <c r="G262" s="437"/>
      <c r="H262" s="437"/>
      <c r="I262" s="437"/>
      <c r="J262" s="437"/>
      <c r="K262" s="437"/>
      <c r="L262" s="437"/>
      <c r="M262" s="437"/>
      <c r="N262" s="437"/>
    </row>
    <row r="263" spans="2:14" ht="12.75">
      <c r="B263" s="437"/>
      <c r="C263" s="437"/>
      <c r="D263" s="437"/>
      <c r="E263" s="437"/>
      <c r="F263" s="437"/>
      <c r="G263" s="437"/>
      <c r="H263" s="437"/>
      <c r="I263" s="437"/>
      <c r="J263" s="437"/>
      <c r="K263" s="437"/>
      <c r="L263" s="437"/>
      <c r="M263" s="437"/>
      <c r="N263" s="437"/>
    </row>
    <row r="264" spans="2:14" ht="12.75">
      <c r="B264" s="437"/>
      <c r="C264" s="437"/>
      <c r="D264" s="437"/>
      <c r="E264" s="437"/>
      <c r="F264" s="437"/>
      <c r="G264" s="437"/>
      <c r="H264" s="437"/>
      <c r="I264" s="437"/>
      <c r="J264" s="437"/>
      <c r="K264" s="437"/>
      <c r="L264" s="437"/>
      <c r="M264" s="437"/>
      <c r="N264" s="437"/>
    </row>
    <row r="265" spans="2:14" ht="12.75">
      <c r="B265" s="437"/>
      <c r="C265" s="437"/>
      <c r="D265" s="437"/>
      <c r="E265" s="437"/>
      <c r="F265" s="437"/>
      <c r="G265" s="437"/>
      <c r="H265" s="437"/>
      <c r="I265" s="437"/>
      <c r="J265" s="437"/>
      <c r="K265" s="437"/>
      <c r="L265" s="437"/>
      <c r="M265" s="437"/>
      <c r="N265" s="437"/>
    </row>
    <row r="266" spans="2:14" ht="12.75">
      <c r="B266" s="437"/>
      <c r="C266" s="437"/>
      <c r="D266" s="437"/>
      <c r="E266" s="437"/>
      <c r="F266" s="437"/>
      <c r="G266" s="437"/>
      <c r="H266" s="437"/>
      <c r="I266" s="437"/>
      <c r="J266" s="437"/>
      <c r="K266" s="437"/>
      <c r="L266" s="437"/>
      <c r="M266" s="437"/>
      <c r="N266" s="437"/>
    </row>
    <row r="267" spans="2:14" ht="12.75">
      <c r="B267" s="437"/>
      <c r="C267" s="437"/>
      <c r="D267" s="437"/>
      <c r="E267" s="437"/>
      <c r="F267" s="437"/>
      <c r="G267" s="437"/>
      <c r="H267" s="437"/>
      <c r="I267" s="437"/>
      <c r="J267" s="437"/>
      <c r="K267" s="437"/>
      <c r="L267" s="437"/>
      <c r="M267" s="437"/>
      <c r="N267" s="437"/>
    </row>
    <row r="268" spans="2:14" ht="12.75">
      <c r="B268" s="437"/>
      <c r="C268" s="437"/>
      <c r="D268" s="437"/>
      <c r="E268" s="437"/>
      <c r="F268" s="437"/>
      <c r="G268" s="437"/>
      <c r="H268" s="437"/>
      <c r="I268" s="437"/>
      <c r="J268" s="437"/>
      <c r="K268" s="437"/>
      <c r="L268" s="437"/>
      <c r="M268" s="437"/>
      <c r="N268" s="437"/>
    </row>
    <row r="269" spans="2:14" ht="12.75">
      <c r="B269" s="437"/>
      <c r="C269" s="437"/>
      <c r="D269" s="437"/>
      <c r="E269" s="437"/>
      <c r="F269" s="437"/>
      <c r="G269" s="437"/>
      <c r="H269" s="437"/>
      <c r="I269" s="437"/>
      <c r="J269" s="437"/>
      <c r="K269" s="437"/>
      <c r="L269" s="437"/>
      <c r="M269" s="437"/>
      <c r="N269" s="437"/>
    </row>
    <row r="270" spans="2:14" ht="12.75">
      <c r="B270" s="437"/>
      <c r="C270" s="437"/>
      <c r="D270" s="437"/>
      <c r="E270" s="437"/>
      <c r="F270" s="437"/>
      <c r="G270" s="437"/>
      <c r="H270" s="437"/>
      <c r="I270" s="437"/>
      <c r="J270" s="437"/>
      <c r="K270" s="437"/>
      <c r="L270" s="437"/>
      <c r="M270" s="437"/>
      <c r="N270" s="437"/>
    </row>
    <row r="271" spans="2:14" ht="12.75">
      <c r="B271" s="437"/>
      <c r="C271" s="437"/>
      <c r="D271" s="437"/>
      <c r="E271" s="437"/>
      <c r="F271" s="437"/>
      <c r="G271" s="437"/>
      <c r="H271" s="437"/>
      <c r="I271" s="437"/>
      <c r="J271" s="437"/>
      <c r="K271" s="437"/>
      <c r="L271" s="437"/>
      <c r="M271" s="437"/>
      <c r="N271" s="437"/>
    </row>
    <row r="272" spans="2:14" ht="12.75">
      <c r="B272" s="437"/>
      <c r="C272" s="437"/>
      <c r="D272" s="437"/>
      <c r="E272" s="437"/>
      <c r="F272" s="437"/>
      <c r="G272" s="437"/>
      <c r="H272" s="437"/>
      <c r="I272" s="437"/>
      <c r="J272" s="437"/>
      <c r="K272" s="437"/>
      <c r="L272" s="437"/>
      <c r="M272" s="437"/>
      <c r="N272" s="437"/>
    </row>
    <row r="273" spans="2:14" ht="12.75">
      <c r="B273" s="437"/>
      <c r="C273" s="437"/>
      <c r="D273" s="437"/>
      <c r="E273" s="437"/>
      <c r="F273" s="437"/>
      <c r="G273" s="437"/>
      <c r="H273" s="437"/>
      <c r="I273" s="437"/>
      <c r="J273" s="437"/>
      <c r="K273" s="437"/>
      <c r="L273" s="437"/>
      <c r="M273" s="437"/>
      <c r="N273" s="437"/>
    </row>
    <row r="274" spans="2:14" ht="12.75">
      <c r="B274" s="437"/>
      <c r="C274" s="437"/>
      <c r="D274" s="437"/>
      <c r="E274" s="437"/>
      <c r="F274" s="437"/>
      <c r="G274" s="437"/>
      <c r="H274" s="437"/>
      <c r="I274" s="437"/>
      <c r="J274" s="437"/>
      <c r="K274" s="437"/>
      <c r="L274" s="437"/>
      <c r="M274" s="437"/>
      <c r="N274" s="437"/>
    </row>
    <row r="275" spans="2:14" ht="12.75">
      <c r="B275" s="437"/>
      <c r="C275" s="437"/>
      <c r="D275" s="437"/>
      <c r="E275" s="437"/>
      <c r="F275" s="437"/>
      <c r="G275" s="437"/>
      <c r="H275" s="437"/>
      <c r="I275" s="437"/>
      <c r="J275" s="437"/>
      <c r="K275" s="437"/>
      <c r="L275" s="437"/>
      <c r="M275" s="437"/>
      <c r="N275" s="437"/>
    </row>
    <row r="276" spans="2:14" ht="12.75">
      <c r="B276" s="437"/>
      <c r="C276" s="437"/>
      <c r="D276" s="437"/>
      <c r="E276" s="437"/>
      <c r="F276" s="437"/>
      <c r="G276" s="437"/>
      <c r="H276" s="437"/>
      <c r="I276" s="437"/>
      <c r="J276" s="437"/>
      <c r="K276" s="437"/>
      <c r="L276" s="437"/>
      <c r="M276" s="437"/>
      <c r="N276" s="437"/>
    </row>
    <row r="277" spans="2:14" ht="12.75">
      <c r="B277" s="437"/>
      <c r="C277" s="437"/>
      <c r="D277" s="437"/>
      <c r="E277" s="437"/>
      <c r="F277" s="437"/>
      <c r="G277" s="437"/>
      <c r="H277" s="437"/>
      <c r="I277" s="437"/>
      <c r="J277" s="437"/>
      <c r="K277" s="437"/>
      <c r="L277" s="437"/>
      <c r="M277" s="437"/>
      <c r="N277" s="437"/>
    </row>
    <row r="278" spans="2:14" ht="12.75">
      <c r="B278" s="437"/>
      <c r="C278" s="437"/>
      <c r="D278" s="437"/>
      <c r="E278" s="437"/>
      <c r="F278" s="437"/>
      <c r="G278" s="437"/>
      <c r="H278" s="437"/>
      <c r="I278" s="437"/>
      <c r="J278" s="437"/>
      <c r="K278" s="437"/>
      <c r="L278" s="437"/>
      <c r="M278" s="437"/>
      <c r="N278" s="437"/>
    </row>
    <row r="279" spans="2:14" ht="12.75">
      <c r="B279" s="437"/>
      <c r="C279" s="437"/>
      <c r="D279" s="437"/>
      <c r="E279" s="437"/>
      <c r="F279" s="437"/>
      <c r="G279" s="437"/>
      <c r="H279" s="437"/>
      <c r="I279" s="437"/>
      <c r="J279" s="437"/>
      <c r="K279" s="437"/>
      <c r="L279" s="437"/>
      <c r="M279" s="437"/>
      <c r="N279" s="437"/>
    </row>
    <row r="280" spans="2:14" ht="12.75">
      <c r="B280" s="437"/>
      <c r="C280" s="437"/>
      <c r="D280" s="437"/>
      <c r="E280" s="437"/>
      <c r="F280" s="437"/>
      <c r="G280" s="437"/>
      <c r="H280" s="437"/>
      <c r="I280" s="437"/>
      <c r="J280" s="437"/>
      <c r="K280" s="437"/>
      <c r="L280" s="437"/>
      <c r="M280" s="437"/>
      <c r="N280" s="437"/>
    </row>
    <row r="281" spans="2:14" ht="12.75">
      <c r="B281" s="437"/>
      <c r="C281" s="437"/>
      <c r="D281" s="437"/>
      <c r="E281" s="437"/>
      <c r="F281" s="437"/>
      <c r="G281" s="437"/>
      <c r="H281" s="437"/>
      <c r="I281" s="437"/>
      <c r="J281" s="437"/>
      <c r="K281" s="437"/>
      <c r="L281" s="437"/>
      <c r="M281" s="437"/>
      <c r="N281" s="437"/>
    </row>
    <row r="282" spans="2:14" ht="12.75">
      <c r="B282" s="437"/>
      <c r="C282" s="437"/>
      <c r="D282" s="437"/>
      <c r="E282" s="437"/>
      <c r="F282" s="437"/>
      <c r="G282" s="437"/>
      <c r="H282" s="437"/>
      <c r="I282" s="437"/>
      <c r="J282" s="437"/>
      <c r="K282" s="437"/>
      <c r="L282" s="437"/>
      <c r="M282" s="437"/>
      <c r="N282" s="437"/>
    </row>
    <row r="283" spans="2:14" ht="12.75">
      <c r="B283" s="437"/>
      <c r="C283" s="437"/>
      <c r="D283" s="437"/>
      <c r="E283" s="437"/>
      <c r="F283" s="437"/>
      <c r="G283" s="437"/>
      <c r="H283" s="437"/>
      <c r="I283" s="437"/>
      <c r="J283" s="437"/>
      <c r="K283" s="437"/>
      <c r="L283" s="437"/>
      <c r="M283" s="437"/>
      <c r="N283" s="437"/>
    </row>
    <row r="284" spans="2:14" ht="12.75">
      <c r="B284" s="437"/>
      <c r="C284" s="437"/>
      <c r="D284" s="437"/>
      <c r="E284" s="437"/>
      <c r="F284" s="437"/>
      <c r="G284" s="437"/>
      <c r="H284" s="437"/>
      <c r="I284" s="437"/>
      <c r="J284" s="437"/>
      <c r="K284" s="437"/>
      <c r="L284" s="437"/>
      <c r="M284" s="437"/>
      <c r="N284" s="437"/>
    </row>
    <row r="285" spans="2:14" ht="12.75">
      <c r="B285" s="437"/>
      <c r="C285" s="437"/>
      <c r="D285" s="437"/>
      <c r="E285" s="437"/>
      <c r="F285" s="437"/>
      <c r="G285" s="437"/>
      <c r="H285" s="437"/>
      <c r="I285" s="437"/>
      <c r="J285" s="437"/>
      <c r="K285" s="437"/>
      <c r="L285" s="437"/>
      <c r="M285" s="437"/>
      <c r="N285" s="437"/>
    </row>
    <row r="286" spans="2:14" ht="12.75">
      <c r="B286" s="437"/>
      <c r="C286" s="437"/>
      <c r="D286" s="437"/>
      <c r="E286" s="437"/>
      <c r="F286" s="437"/>
      <c r="G286" s="437"/>
      <c r="H286" s="437"/>
      <c r="I286" s="437"/>
      <c r="J286" s="437"/>
      <c r="K286" s="437"/>
      <c r="L286" s="437"/>
      <c r="M286" s="437"/>
      <c r="N286" s="437"/>
    </row>
    <row r="287" spans="2:14" ht="12.75">
      <c r="B287" s="437"/>
      <c r="C287" s="437"/>
      <c r="D287" s="437"/>
      <c r="E287" s="437"/>
      <c r="F287" s="437"/>
      <c r="G287" s="437"/>
      <c r="H287" s="437"/>
      <c r="I287" s="437"/>
      <c r="J287" s="437"/>
      <c r="K287" s="437"/>
      <c r="L287" s="437"/>
      <c r="M287" s="437"/>
      <c r="N287" s="437"/>
    </row>
    <row r="288" spans="2:14" ht="12.75">
      <c r="B288" s="437"/>
      <c r="C288" s="437"/>
      <c r="D288" s="437"/>
      <c r="E288" s="437"/>
      <c r="F288" s="437"/>
      <c r="G288" s="437"/>
      <c r="H288" s="437"/>
      <c r="I288" s="437"/>
      <c r="J288" s="437"/>
      <c r="K288" s="437"/>
      <c r="L288" s="437"/>
      <c r="M288" s="437"/>
      <c r="N288" s="437"/>
    </row>
    <row r="289" spans="2:14" ht="12.75">
      <c r="B289" s="437"/>
      <c r="C289" s="437"/>
      <c r="D289" s="437"/>
      <c r="E289" s="437"/>
      <c r="F289" s="437"/>
      <c r="G289" s="437"/>
      <c r="H289" s="437"/>
      <c r="I289" s="437"/>
      <c r="J289" s="437"/>
      <c r="K289" s="437"/>
      <c r="L289" s="437"/>
      <c r="M289" s="437"/>
      <c r="N289" s="437"/>
    </row>
    <row r="290" spans="2:14" ht="12.75">
      <c r="B290" s="437"/>
      <c r="C290" s="437"/>
      <c r="D290" s="437"/>
      <c r="E290" s="437"/>
      <c r="F290" s="437"/>
      <c r="G290" s="437"/>
      <c r="H290" s="437"/>
      <c r="I290" s="437"/>
      <c r="J290" s="437"/>
      <c r="K290" s="437"/>
      <c r="L290" s="437"/>
      <c r="M290" s="437"/>
      <c r="N290" s="437"/>
    </row>
    <row r="291" spans="2:14" ht="12.75">
      <c r="B291" s="437"/>
      <c r="C291" s="437"/>
      <c r="D291" s="437"/>
      <c r="E291" s="437"/>
      <c r="F291" s="437"/>
      <c r="G291" s="437"/>
      <c r="H291" s="437"/>
      <c r="I291" s="437"/>
      <c r="J291" s="437"/>
      <c r="K291" s="437"/>
      <c r="L291" s="437"/>
      <c r="M291" s="437"/>
      <c r="N291" s="437"/>
    </row>
    <row r="292" spans="2:14" ht="12.75">
      <c r="B292" s="437"/>
      <c r="C292" s="437"/>
      <c r="D292" s="437"/>
      <c r="E292" s="437"/>
      <c r="F292" s="437"/>
      <c r="G292" s="437"/>
      <c r="H292" s="437"/>
      <c r="I292" s="437"/>
      <c r="J292" s="437"/>
      <c r="K292" s="437"/>
      <c r="L292" s="437"/>
      <c r="M292" s="437"/>
      <c r="N292" s="437"/>
    </row>
    <row r="293" spans="2:14" ht="12.75">
      <c r="B293" s="437"/>
      <c r="C293" s="437"/>
      <c r="D293" s="437"/>
      <c r="E293" s="437"/>
      <c r="F293" s="437"/>
      <c r="G293" s="437"/>
      <c r="H293" s="437"/>
      <c r="I293" s="437"/>
      <c r="J293" s="437"/>
      <c r="K293" s="437"/>
      <c r="L293" s="437"/>
      <c r="M293" s="437"/>
      <c r="N293" s="437"/>
    </row>
    <row r="294" spans="2:14" ht="12.75">
      <c r="B294" s="437"/>
      <c r="C294" s="437"/>
      <c r="D294" s="437"/>
      <c r="E294" s="437"/>
      <c r="F294" s="437"/>
      <c r="G294" s="437"/>
      <c r="H294" s="437"/>
      <c r="I294" s="437"/>
      <c r="J294" s="437"/>
      <c r="K294" s="437"/>
      <c r="L294" s="437"/>
      <c r="M294" s="437"/>
      <c r="N294" s="437"/>
    </row>
    <row r="295" spans="2:14" ht="12.75">
      <c r="B295" s="437"/>
      <c r="C295" s="437"/>
      <c r="D295" s="437"/>
      <c r="E295" s="437"/>
      <c r="F295" s="437"/>
      <c r="G295" s="437"/>
      <c r="H295" s="437"/>
      <c r="I295" s="437"/>
      <c r="J295" s="437"/>
      <c r="K295" s="437"/>
      <c r="L295" s="437"/>
      <c r="M295" s="437"/>
      <c r="N295" s="437"/>
    </row>
    <row r="296" spans="2:14" ht="12.75">
      <c r="B296" s="437"/>
      <c r="C296" s="437"/>
      <c r="D296" s="437"/>
      <c r="E296" s="437"/>
      <c r="F296" s="437"/>
      <c r="G296" s="437"/>
      <c r="H296" s="437"/>
      <c r="I296" s="437"/>
      <c r="J296" s="437"/>
      <c r="K296" s="437"/>
      <c r="L296" s="437"/>
      <c r="M296" s="437"/>
      <c r="N296" s="437"/>
    </row>
    <row r="297" spans="2:14" ht="12.75">
      <c r="B297" s="437"/>
      <c r="C297" s="437"/>
      <c r="D297" s="437"/>
      <c r="E297" s="437"/>
      <c r="F297" s="437"/>
      <c r="G297" s="437"/>
      <c r="H297" s="437"/>
      <c r="I297" s="437"/>
      <c r="J297" s="437"/>
      <c r="K297" s="437"/>
      <c r="L297" s="437"/>
      <c r="M297" s="437"/>
      <c r="N297" s="437"/>
    </row>
    <row r="298" spans="2:14" ht="12.75">
      <c r="B298" s="437"/>
      <c r="C298" s="437"/>
      <c r="D298" s="437"/>
      <c r="E298" s="437"/>
      <c r="F298" s="437"/>
      <c r="G298" s="437"/>
      <c r="H298" s="437"/>
      <c r="I298" s="437"/>
      <c r="J298" s="437"/>
      <c r="K298" s="437"/>
      <c r="L298" s="437"/>
      <c r="M298" s="437"/>
      <c r="N298" s="437"/>
    </row>
    <row r="299" spans="2:14" ht="12.75">
      <c r="B299" s="437"/>
      <c r="C299" s="437"/>
      <c r="D299" s="437"/>
      <c r="E299" s="437"/>
      <c r="F299" s="437"/>
      <c r="G299" s="437"/>
      <c r="H299" s="437"/>
      <c r="I299" s="437"/>
      <c r="J299" s="437"/>
      <c r="K299" s="437"/>
      <c r="L299" s="437"/>
      <c r="M299" s="437"/>
      <c r="N299" s="437"/>
    </row>
    <row r="300" spans="2:14" ht="12.75">
      <c r="B300" s="437"/>
      <c r="C300" s="437"/>
      <c r="D300" s="437"/>
      <c r="E300" s="437"/>
      <c r="F300" s="437"/>
      <c r="G300" s="437"/>
      <c r="H300" s="437"/>
      <c r="I300" s="437"/>
      <c r="J300" s="437"/>
      <c r="K300" s="437"/>
      <c r="L300" s="437"/>
      <c r="M300" s="437"/>
      <c r="N300" s="437"/>
    </row>
    <row r="301" spans="2:14" ht="12.75">
      <c r="B301" s="437"/>
      <c r="C301" s="437"/>
      <c r="D301" s="437"/>
      <c r="E301" s="437"/>
      <c r="F301" s="437"/>
      <c r="G301" s="437"/>
      <c r="H301" s="437"/>
      <c r="I301" s="437"/>
      <c r="J301" s="437"/>
      <c r="K301" s="437"/>
      <c r="L301" s="437"/>
      <c r="M301" s="437"/>
      <c r="N301" s="437"/>
    </row>
    <row r="302" spans="2:14" ht="12.75">
      <c r="B302" s="437"/>
      <c r="C302" s="437"/>
      <c r="D302" s="437"/>
      <c r="E302" s="437"/>
      <c r="F302" s="437"/>
      <c r="G302" s="437"/>
      <c r="H302" s="437"/>
      <c r="I302" s="437"/>
      <c r="J302" s="437"/>
      <c r="K302" s="437"/>
      <c r="L302" s="437"/>
      <c r="M302" s="437"/>
      <c r="N302" s="437"/>
    </row>
    <row r="303" spans="2:14" ht="12.75">
      <c r="B303" s="437"/>
      <c r="C303" s="437"/>
      <c r="D303" s="437"/>
      <c r="E303" s="437"/>
      <c r="F303" s="437"/>
      <c r="G303" s="437"/>
      <c r="H303" s="437"/>
      <c r="I303" s="437"/>
      <c r="J303" s="437"/>
      <c r="K303" s="437"/>
      <c r="L303" s="437"/>
      <c r="M303" s="437"/>
      <c r="N303" s="437"/>
    </row>
    <row r="304" spans="2:14" ht="12.75">
      <c r="B304" s="437"/>
      <c r="C304" s="437"/>
      <c r="D304" s="437"/>
      <c r="E304" s="437"/>
      <c r="F304" s="437"/>
      <c r="G304" s="437"/>
      <c r="H304" s="437"/>
      <c r="I304" s="437"/>
      <c r="J304" s="437"/>
      <c r="K304" s="437"/>
      <c r="L304" s="437"/>
      <c r="M304" s="437"/>
      <c r="N304" s="437"/>
    </row>
    <row r="305" spans="2:14" ht="12.75">
      <c r="B305" s="437"/>
      <c r="C305" s="437"/>
      <c r="D305" s="437"/>
      <c r="E305" s="437"/>
      <c r="F305" s="437"/>
      <c r="G305" s="437"/>
      <c r="H305" s="437"/>
      <c r="I305" s="437"/>
      <c r="J305" s="437"/>
      <c r="K305" s="437"/>
      <c r="L305" s="437"/>
      <c r="M305" s="437"/>
      <c r="N305" s="437"/>
    </row>
    <row r="306" spans="2:14" ht="12.75">
      <c r="B306" s="437"/>
      <c r="C306" s="437"/>
      <c r="D306" s="437"/>
      <c r="E306" s="437"/>
      <c r="F306" s="437"/>
      <c r="G306" s="437"/>
      <c r="H306" s="437"/>
      <c r="I306" s="437"/>
      <c r="J306" s="437"/>
      <c r="K306" s="437"/>
      <c r="L306" s="437"/>
      <c r="M306" s="437"/>
      <c r="N306" s="437"/>
    </row>
    <row r="307" spans="2:14" ht="12.75">
      <c r="B307" s="437"/>
      <c r="C307" s="437"/>
      <c r="D307" s="437"/>
      <c r="E307" s="437"/>
      <c r="F307" s="437"/>
      <c r="G307" s="437"/>
      <c r="H307" s="437"/>
      <c r="I307" s="437"/>
      <c r="J307" s="437"/>
      <c r="K307" s="437"/>
      <c r="L307" s="437"/>
      <c r="M307" s="437"/>
      <c r="N307" s="437"/>
    </row>
    <row r="308" spans="2:14" ht="12.75">
      <c r="B308" s="437"/>
      <c r="C308" s="437"/>
      <c r="D308" s="437"/>
      <c r="E308" s="437"/>
      <c r="F308" s="437"/>
      <c r="G308" s="437"/>
      <c r="H308" s="437"/>
      <c r="I308" s="437"/>
      <c r="J308" s="437"/>
      <c r="K308" s="437"/>
      <c r="L308" s="437"/>
      <c r="M308" s="437"/>
      <c r="N308" s="437"/>
    </row>
    <row r="309" spans="2:14" ht="12.75">
      <c r="B309" s="437"/>
      <c r="C309" s="437"/>
      <c r="D309" s="437"/>
      <c r="E309" s="437"/>
      <c r="F309" s="437"/>
      <c r="G309" s="437"/>
      <c r="H309" s="437"/>
      <c r="I309" s="437"/>
      <c r="J309" s="437"/>
      <c r="K309" s="437"/>
      <c r="L309" s="437"/>
      <c r="M309" s="437"/>
      <c r="N309" s="437"/>
    </row>
    <row r="310" spans="2:14" ht="12.75">
      <c r="B310" s="437"/>
      <c r="C310" s="437"/>
      <c r="D310" s="437"/>
      <c r="E310" s="437"/>
      <c r="F310" s="437"/>
      <c r="G310" s="437"/>
      <c r="H310" s="437"/>
      <c r="I310" s="437"/>
      <c r="J310" s="437"/>
      <c r="K310" s="437"/>
      <c r="L310" s="437"/>
      <c r="M310" s="437"/>
      <c r="N310" s="437"/>
    </row>
    <row r="311" spans="2:14" ht="12.75">
      <c r="B311" s="437"/>
      <c r="C311" s="437"/>
      <c r="D311" s="437"/>
      <c r="E311" s="437"/>
      <c r="F311" s="437"/>
      <c r="G311" s="437"/>
      <c r="H311" s="437"/>
      <c r="I311" s="437"/>
      <c r="J311" s="437"/>
      <c r="K311" s="437"/>
      <c r="L311" s="437"/>
      <c r="M311" s="437"/>
      <c r="N311" s="437"/>
    </row>
    <row r="312" spans="2:14" ht="12.75">
      <c r="B312" s="437"/>
      <c r="C312" s="437"/>
      <c r="D312" s="437"/>
      <c r="E312" s="437"/>
      <c r="F312" s="437"/>
      <c r="G312" s="437"/>
      <c r="H312" s="437"/>
      <c r="I312" s="437"/>
      <c r="J312" s="437"/>
      <c r="K312" s="437"/>
      <c r="L312" s="437"/>
      <c r="M312" s="437"/>
      <c r="N312" s="437"/>
    </row>
    <row r="313" spans="2:14" ht="12.75">
      <c r="B313" s="437"/>
      <c r="C313" s="437"/>
      <c r="D313" s="437"/>
      <c r="E313" s="437"/>
      <c r="F313" s="437"/>
      <c r="G313" s="437"/>
      <c r="H313" s="437"/>
      <c r="I313" s="437"/>
      <c r="J313" s="437"/>
      <c r="K313" s="437"/>
      <c r="L313" s="437"/>
      <c r="M313" s="437"/>
      <c r="N313" s="437"/>
    </row>
    <row r="314" spans="2:14" ht="12.75">
      <c r="B314" s="437"/>
      <c r="C314" s="437"/>
      <c r="D314" s="437"/>
      <c r="E314" s="437"/>
      <c r="F314" s="437"/>
      <c r="G314" s="437"/>
      <c r="H314" s="437"/>
      <c r="I314" s="437"/>
      <c r="J314" s="437"/>
      <c r="K314" s="437"/>
      <c r="L314" s="437"/>
      <c r="M314" s="437"/>
      <c r="N314" s="437"/>
    </row>
    <row r="315" spans="2:14" ht="12.75">
      <c r="B315" s="437"/>
      <c r="C315" s="437"/>
      <c r="D315" s="437"/>
      <c r="E315" s="437"/>
      <c r="F315" s="437"/>
      <c r="G315" s="437"/>
      <c r="H315" s="437"/>
      <c r="I315" s="437"/>
      <c r="J315" s="437"/>
      <c r="K315" s="437"/>
      <c r="L315" s="437"/>
      <c r="M315" s="437"/>
      <c r="N315" s="437"/>
    </row>
    <row r="316" spans="2:14" ht="12.75">
      <c r="B316" s="437"/>
      <c r="C316" s="437"/>
      <c r="D316" s="437"/>
      <c r="E316" s="437"/>
      <c r="F316" s="437"/>
      <c r="G316" s="437"/>
      <c r="H316" s="437"/>
      <c r="I316" s="437"/>
      <c r="J316" s="437"/>
      <c r="K316" s="437"/>
      <c r="L316" s="437"/>
      <c r="M316" s="437"/>
      <c r="N316" s="437"/>
    </row>
    <row r="317" spans="2:14" ht="12.75">
      <c r="B317" s="437"/>
      <c r="C317" s="437"/>
      <c r="D317" s="437"/>
      <c r="E317" s="437"/>
      <c r="F317" s="437"/>
      <c r="G317" s="437"/>
      <c r="H317" s="437"/>
      <c r="I317" s="437"/>
      <c r="J317" s="437"/>
      <c r="K317" s="437"/>
      <c r="L317" s="437"/>
      <c r="M317" s="437"/>
      <c r="N317" s="437"/>
    </row>
    <row r="318" spans="2:14" ht="12.75">
      <c r="B318" s="437"/>
      <c r="C318" s="437"/>
      <c r="D318" s="437"/>
      <c r="E318" s="437"/>
      <c r="F318" s="437"/>
      <c r="G318" s="437"/>
      <c r="H318" s="437"/>
      <c r="I318" s="437"/>
      <c r="J318" s="437"/>
      <c r="K318" s="437"/>
      <c r="L318" s="437"/>
      <c r="M318" s="437"/>
      <c r="N318" s="437"/>
    </row>
    <row r="319" spans="2:14" ht="12.75">
      <c r="B319" s="437"/>
      <c r="C319" s="437"/>
      <c r="D319" s="437"/>
      <c r="E319" s="437"/>
      <c r="F319" s="437"/>
      <c r="G319" s="437"/>
      <c r="H319" s="437"/>
      <c r="I319" s="437"/>
      <c r="J319" s="437"/>
      <c r="K319" s="437"/>
      <c r="L319" s="437"/>
      <c r="M319" s="437"/>
      <c r="N319" s="437"/>
    </row>
    <row r="320" spans="2:14" ht="12.75">
      <c r="B320" s="437"/>
      <c r="C320" s="437"/>
      <c r="D320" s="437"/>
      <c r="E320" s="437"/>
      <c r="F320" s="437"/>
      <c r="G320" s="437"/>
      <c r="H320" s="437"/>
      <c r="I320" s="437"/>
      <c r="J320" s="437"/>
      <c r="K320" s="437"/>
      <c r="L320" s="437"/>
      <c r="M320" s="437"/>
      <c r="N320" s="437"/>
    </row>
    <row r="321" spans="2:14" ht="12.75">
      <c r="B321" s="437"/>
      <c r="C321" s="437"/>
      <c r="D321" s="437"/>
      <c r="E321" s="437"/>
      <c r="F321" s="437"/>
      <c r="G321" s="437"/>
      <c r="H321" s="437"/>
      <c r="I321" s="437"/>
      <c r="J321" s="437"/>
      <c r="K321" s="437"/>
      <c r="L321" s="437"/>
      <c r="M321" s="437"/>
      <c r="N321" s="437"/>
    </row>
    <row r="322" spans="2:14" ht="12.75">
      <c r="B322" s="437"/>
      <c r="C322" s="437"/>
      <c r="D322" s="437"/>
      <c r="E322" s="437"/>
      <c r="F322" s="437"/>
      <c r="G322" s="437"/>
      <c r="H322" s="437"/>
      <c r="I322" s="437"/>
      <c r="J322" s="437"/>
      <c r="K322" s="437"/>
      <c r="L322" s="437"/>
      <c r="M322" s="437"/>
      <c r="N322" s="437"/>
    </row>
    <row r="323" spans="2:14" ht="12.75">
      <c r="B323" s="437"/>
      <c r="C323" s="437"/>
      <c r="D323" s="437"/>
      <c r="E323" s="437"/>
      <c r="F323" s="437"/>
      <c r="G323" s="437"/>
      <c r="H323" s="437"/>
      <c r="I323" s="437"/>
      <c r="J323" s="437"/>
      <c r="K323" s="437"/>
      <c r="L323" s="437"/>
      <c r="M323" s="437"/>
      <c r="N323" s="437"/>
    </row>
    <row r="324" spans="2:14" ht="12.75">
      <c r="B324" s="437"/>
      <c r="C324" s="437"/>
      <c r="D324" s="437"/>
      <c r="E324" s="437"/>
      <c r="F324" s="437"/>
      <c r="G324" s="437"/>
      <c r="H324" s="437"/>
      <c r="I324" s="437"/>
      <c r="J324" s="437"/>
      <c r="K324" s="437"/>
      <c r="L324" s="437"/>
      <c r="M324" s="437"/>
      <c r="N324" s="437"/>
    </row>
    <row r="325" spans="2:14" ht="12.75">
      <c r="B325" s="437"/>
      <c r="C325" s="437"/>
      <c r="D325" s="437"/>
      <c r="E325" s="437"/>
      <c r="F325" s="437"/>
      <c r="G325" s="437"/>
      <c r="H325" s="437"/>
      <c r="I325" s="437"/>
      <c r="J325" s="437"/>
      <c r="K325" s="437"/>
      <c r="L325" s="437"/>
      <c r="M325" s="437"/>
      <c r="N325" s="437"/>
    </row>
    <row r="326" spans="2:14" ht="12.75">
      <c r="B326" s="437"/>
      <c r="C326" s="437"/>
      <c r="D326" s="437"/>
      <c r="E326" s="437"/>
      <c r="F326" s="437"/>
      <c r="G326" s="437"/>
      <c r="H326" s="437"/>
      <c r="I326" s="437"/>
      <c r="J326" s="437"/>
      <c r="K326" s="437"/>
      <c r="L326" s="437"/>
      <c r="M326" s="437"/>
      <c r="N326" s="437"/>
    </row>
    <row r="327" spans="2:14" ht="12.75">
      <c r="B327" s="437"/>
      <c r="C327" s="437"/>
      <c r="D327" s="437"/>
      <c r="E327" s="437"/>
      <c r="F327" s="437"/>
      <c r="G327" s="437"/>
      <c r="H327" s="437"/>
      <c r="I327" s="437"/>
      <c r="J327" s="437"/>
      <c r="K327" s="437"/>
      <c r="L327" s="437"/>
      <c r="M327" s="437"/>
      <c r="N327" s="437"/>
    </row>
    <row r="328" spans="2:14" ht="12.75">
      <c r="B328" s="437"/>
      <c r="C328" s="437"/>
      <c r="D328" s="437"/>
      <c r="E328" s="437"/>
      <c r="F328" s="437"/>
      <c r="G328" s="437"/>
      <c r="H328" s="437"/>
      <c r="I328" s="437"/>
      <c r="J328" s="437"/>
      <c r="K328" s="437"/>
      <c r="L328" s="437"/>
      <c r="M328" s="437"/>
      <c r="N328" s="437"/>
    </row>
    <row r="329" spans="2:14" ht="12.75">
      <c r="B329" s="437"/>
      <c r="C329" s="437"/>
      <c r="D329" s="437"/>
      <c r="E329" s="437"/>
      <c r="F329" s="437"/>
      <c r="G329" s="437"/>
      <c r="H329" s="437"/>
      <c r="I329" s="437"/>
      <c r="J329" s="437"/>
      <c r="K329" s="437"/>
      <c r="L329" s="437"/>
      <c r="M329" s="437"/>
      <c r="N329" s="437"/>
    </row>
    <row r="330" spans="2:14" ht="12.75">
      <c r="B330" s="437"/>
      <c r="C330" s="437"/>
      <c r="D330" s="437"/>
      <c r="E330" s="437"/>
      <c r="F330" s="437"/>
      <c r="G330" s="437"/>
      <c r="H330" s="437"/>
      <c r="I330" s="437"/>
      <c r="J330" s="437"/>
      <c r="K330" s="437"/>
      <c r="L330" s="437"/>
      <c r="M330" s="437"/>
      <c r="N330" s="437"/>
    </row>
    <row r="331" spans="2:14" ht="12.75">
      <c r="B331" s="437"/>
      <c r="C331" s="437"/>
      <c r="D331" s="437"/>
      <c r="E331" s="437"/>
      <c r="F331" s="437"/>
      <c r="G331" s="437"/>
      <c r="H331" s="437"/>
      <c r="I331" s="437"/>
      <c r="J331" s="437"/>
      <c r="K331" s="437"/>
      <c r="L331" s="437"/>
      <c r="M331" s="437"/>
      <c r="N331" s="437"/>
    </row>
    <row r="332" spans="2:14" ht="12.75">
      <c r="B332" s="437"/>
      <c r="C332" s="437"/>
      <c r="D332" s="437"/>
      <c r="E332" s="437"/>
      <c r="F332" s="437"/>
      <c r="G332" s="437"/>
      <c r="H332" s="437"/>
      <c r="I332" s="437"/>
      <c r="J332" s="437"/>
      <c r="K332" s="437"/>
      <c r="L332" s="437"/>
      <c r="M332" s="437"/>
      <c r="N332" s="437"/>
    </row>
    <row r="333" spans="2:14" ht="12.75">
      <c r="B333" s="437"/>
      <c r="C333" s="437"/>
      <c r="D333" s="437"/>
      <c r="E333" s="437"/>
      <c r="F333" s="437"/>
      <c r="G333" s="437"/>
      <c r="H333" s="437"/>
      <c r="I333" s="437"/>
      <c r="J333" s="437"/>
      <c r="K333" s="437"/>
      <c r="L333" s="437"/>
      <c r="M333" s="437"/>
      <c r="N333" s="437"/>
    </row>
    <row r="334" spans="2:14" ht="12.75">
      <c r="B334" s="437"/>
      <c r="C334" s="437"/>
      <c r="D334" s="437"/>
      <c r="E334" s="437"/>
      <c r="F334" s="437"/>
      <c r="G334" s="437"/>
      <c r="H334" s="437"/>
      <c r="I334" s="437"/>
      <c r="J334" s="437"/>
      <c r="K334" s="437"/>
      <c r="L334" s="437"/>
      <c r="M334" s="437"/>
      <c r="N334" s="437"/>
    </row>
    <row r="335" spans="2:14" ht="12.75">
      <c r="B335" s="437"/>
      <c r="C335" s="437"/>
      <c r="D335" s="437"/>
      <c r="E335" s="437"/>
      <c r="F335" s="437"/>
      <c r="G335" s="437"/>
      <c r="H335" s="437"/>
      <c r="I335" s="437"/>
      <c r="J335" s="437"/>
      <c r="K335" s="437"/>
      <c r="L335" s="437"/>
      <c r="M335" s="437"/>
      <c r="N335" s="437"/>
    </row>
    <row r="336" spans="2:14" ht="12.75">
      <c r="B336" s="437"/>
      <c r="C336" s="437"/>
      <c r="D336" s="437"/>
      <c r="E336" s="437"/>
      <c r="F336" s="437"/>
      <c r="G336" s="437"/>
      <c r="H336" s="437"/>
      <c r="I336" s="437"/>
      <c r="J336" s="437"/>
      <c r="K336" s="437"/>
      <c r="L336" s="437"/>
      <c r="M336" s="437"/>
      <c r="N336" s="437"/>
    </row>
    <row r="337" spans="2:14" ht="12.75">
      <c r="B337" s="437"/>
      <c r="C337" s="437"/>
      <c r="D337" s="437"/>
      <c r="E337" s="437"/>
      <c r="F337" s="437"/>
      <c r="G337" s="437"/>
      <c r="H337" s="437"/>
      <c r="I337" s="437"/>
      <c r="J337" s="437"/>
      <c r="K337" s="437"/>
      <c r="L337" s="437"/>
      <c r="M337" s="437"/>
      <c r="N337" s="437"/>
    </row>
    <row r="338" spans="2:14" ht="12.75">
      <c r="B338" s="437"/>
      <c r="C338" s="437"/>
      <c r="D338" s="437"/>
      <c r="E338" s="437"/>
      <c r="F338" s="437"/>
      <c r="G338" s="437"/>
      <c r="H338" s="437"/>
      <c r="I338" s="437"/>
      <c r="J338" s="437"/>
      <c r="K338" s="437"/>
      <c r="L338" s="437"/>
      <c r="M338" s="437"/>
      <c r="N338" s="437"/>
    </row>
    <row r="339" spans="2:14" ht="12.75">
      <c r="B339" s="437"/>
      <c r="C339" s="437"/>
      <c r="D339" s="437"/>
      <c r="E339" s="437"/>
      <c r="F339" s="437"/>
      <c r="G339" s="437"/>
      <c r="H339" s="437"/>
      <c r="I339" s="437"/>
      <c r="J339" s="437"/>
      <c r="K339" s="437"/>
      <c r="L339" s="437"/>
      <c r="M339" s="437"/>
      <c r="N339" s="437"/>
    </row>
    <row r="340" spans="2:14" ht="12.75">
      <c r="B340" s="437"/>
      <c r="C340" s="437"/>
      <c r="D340" s="437"/>
      <c r="E340" s="437"/>
      <c r="F340" s="437"/>
      <c r="G340" s="437"/>
      <c r="H340" s="437"/>
      <c r="I340" s="437"/>
      <c r="J340" s="437"/>
      <c r="K340" s="437"/>
      <c r="L340" s="437"/>
      <c r="M340" s="437"/>
      <c r="N340" s="437"/>
    </row>
    <row r="341" spans="2:14" ht="12.75">
      <c r="B341" s="437"/>
      <c r="C341" s="437"/>
      <c r="D341" s="437"/>
      <c r="E341" s="437"/>
      <c r="F341" s="437"/>
      <c r="G341" s="437"/>
      <c r="H341" s="437"/>
      <c r="I341" s="437"/>
      <c r="J341" s="437"/>
      <c r="K341" s="437"/>
      <c r="L341" s="437"/>
      <c r="M341" s="437"/>
      <c r="N341" s="437"/>
    </row>
    <row r="342" spans="2:14" ht="12.75">
      <c r="B342" s="437"/>
      <c r="C342" s="437"/>
      <c r="D342" s="437"/>
      <c r="E342" s="437"/>
      <c r="F342" s="437"/>
      <c r="G342" s="437"/>
      <c r="H342" s="437"/>
      <c r="I342" s="437"/>
      <c r="J342" s="437"/>
      <c r="K342" s="437"/>
      <c r="L342" s="437"/>
      <c r="M342" s="437"/>
      <c r="N342" s="437"/>
    </row>
    <row r="343" spans="2:14" ht="12.75">
      <c r="B343" s="437"/>
      <c r="C343" s="437"/>
      <c r="D343" s="437"/>
      <c r="E343" s="437"/>
      <c r="F343" s="437"/>
      <c r="G343" s="437"/>
      <c r="H343" s="437"/>
      <c r="I343" s="437"/>
      <c r="J343" s="437"/>
      <c r="K343" s="437"/>
      <c r="L343" s="437"/>
      <c r="M343" s="437"/>
      <c r="N343" s="437"/>
    </row>
    <row r="344" spans="2:14" ht="12.75">
      <c r="B344" s="437"/>
      <c r="C344" s="437"/>
      <c r="D344" s="437"/>
      <c r="E344" s="437"/>
      <c r="F344" s="437"/>
      <c r="G344" s="437"/>
      <c r="H344" s="437"/>
      <c r="I344" s="437"/>
      <c r="J344" s="437"/>
      <c r="K344" s="437"/>
      <c r="L344" s="437"/>
      <c r="M344" s="437"/>
      <c r="N344" s="437"/>
    </row>
    <row r="345" spans="2:14" ht="12.75">
      <c r="B345" s="437"/>
      <c r="C345" s="437"/>
      <c r="D345" s="437"/>
      <c r="E345" s="437"/>
      <c r="F345" s="437"/>
      <c r="G345" s="437"/>
      <c r="H345" s="437"/>
      <c r="I345" s="437"/>
      <c r="J345" s="437"/>
      <c r="K345" s="437"/>
      <c r="L345" s="437"/>
      <c r="M345" s="437"/>
      <c r="N345" s="437"/>
    </row>
    <row r="346" spans="2:14" ht="12.75">
      <c r="B346" s="437"/>
      <c r="C346" s="437"/>
      <c r="D346" s="437"/>
      <c r="E346" s="437"/>
      <c r="F346" s="437"/>
      <c r="G346" s="437"/>
      <c r="H346" s="437"/>
      <c r="I346" s="437"/>
      <c r="J346" s="437"/>
      <c r="K346" s="437"/>
      <c r="L346" s="437"/>
      <c r="M346" s="437"/>
      <c r="N346" s="437"/>
    </row>
    <row r="347" spans="2:14" ht="12.75">
      <c r="B347" s="437"/>
      <c r="C347" s="437"/>
      <c r="D347" s="437"/>
      <c r="E347" s="437"/>
      <c r="F347" s="437"/>
      <c r="G347" s="437"/>
      <c r="H347" s="437"/>
      <c r="I347" s="437"/>
      <c r="J347" s="437"/>
      <c r="K347" s="437"/>
      <c r="L347" s="437"/>
      <c r="M347" s="437"/>
      <c r="N347" s="437"/>
    </row>
    <row r="348" spans="2:14" ht="12.75">
      <c r="B348" s="437"/>
      <c r="C348" s="437"/>
      <c r="D348" s="437"/>
      <c r="E348" s="437"/>
      <c r="F348" s="437"/>
      <c r="G348" s="437"/>
      <c r="H348" s="437"/>
      <c r="I348" s="437"/>
      <c r="J348" s="437"/>
      <c r="K348" s="437"/>
      <c r="L348" s="437"/>
      <c r="M348" s="437"/>
      <c r="N348" s="437"/>
    </row>
    <row r="349" spans="2:14" ht="12.75">
      <c r="B349" s="437"/>
      <c r="C349" s="437"/>
      <c r="D349" s="437"/>
      <c r="E349" s="437"/>
      <c r="F349" s="437"/>
      <c r="G349" s="437"/>
      <c r="H349" s="437"/>
      <c r="I349" s="437"/>
      <c r="J349" s="437"/>
      <c r="K349" s="437"/>
      <c r="L349" s="437"/>
      <c r="M349" s="437"/>
      <c r="N349" s="437"/>
    </row>
    <row r="350" spans="2:14" ht="12.75">
      <c r="B350" s="437"/>
      <c r="C350" s="437"/>
      <c r="D350" s="437"/>
      <c r="E350" s="437"/>
      <c r="F350" s="437"/>
      <c r="G350" s="437"/>
      <c r="H350" s="437"/>
      <c r="I350" s="437"/>
      <c r="J350" s="437"/>
      <c r="K350" s="437"/>
      <c r="L350" s="437"/>
      <c r="M350" s="437"/>
      <c r="N350" s="437"/>
    </row>
    <row r="351" spans="2:14" ht="12.75">
      <c r="B351" s="437"/>
      <c r="C351" s="437"/>
      <c r="D351" s="437"/>
      <c r="E351" s="437"/>
      <c r="F351" s="437"/>
      <c r="G351" s="437"/>
      <c r="H351" s="437"/>
      <c r="I351" s="437"/>
      <c r="J351" s="437"/>
      <c r="K351" s="437"/>
      <c r="L351" s="437"/>
      <c r="M351" s="437"/>
      <c r="N351" s="437"/>
    </row>
    <row r="352" spans="2:14" ht="12.75">
      <c r="B352" s="437"/>
      <c r="C352" s="437"/>
      <c r="D352" s="437"/>
      <c r="E352" s="437"/>
      <c r="F352" s="437"/>
      <c r="G352" s="437"/>
      <c r="H352" s="437"/>
      <c r="I352" s="437"/>
      <c r="J352" s="437"/>
      <c r="K352" s="437"/>
      <c r="L352" s="437"/>
      <c r="M352" s="437"/>
      <c r="N352" s="437"/>
    </row>
    <row r="353" spans="2:14" ht="12.75">
      <c r="B353" s="437"/>
      <c r="C353" s="437"/>
      <c r="D353" s="437"/>
      <c r="E353" s="437"/>
      <c r="F353" s="437"/>
      <c r="G353" s="437"/>
      <c r="H353" s="437"/>
      <c r="I353" s="437"/>
      <c r="J353" s="437"/>
      <c r="K353" s="437"/>
      <c r="L353" s="437"/>
      <c r="M353" s="437"/>
      <c r="N353" s="437"/>
    </row>
    <row r="354" spans="2:14" ht="12.75">
      <c r="B354" s="437"/>
      <c r="C354" s="437"/>
      <c r="D354" s="437"/>
      <c r="E354" s="437"/>
      <c r="F354" s="437"/>
      <c r="G354" s="437"/>
      <c r="H354" s="437"/>
      <c r="I354" s="437"/>
      <c r="J354" s="437"/>
      <c r="K354" s="437"/>
      <c r="L354" s="437"/>
      <c r="M354" s="437"/>
      <c r="N354" s="437"/>
    </row>
    <row r="355" spans="2:14" ht="12.75">
      <c r="B355" s="437"/>
      <c r="C355" s="437"/>
      <c r="D355" s="437"/>
      <c r="E355" s="437"/>
      <c r="F355" s="437"/>
      <c r="G355" s="437"/>
      <c r="H355" s="437"/>
      <c r="I355" s="437"/>
      <c r="J355" s="437"/>
      <c r="K355" s="437"/>
      <c r="L355" s="437"/>
      <c r="M355" s="437"/>
      <c r="N355" s="437"/>
    </row>
    <row r="356" spans="2:14" ht="12.75">
      <c r="B356" s="437"/>
      <c r="C356" s="437"/>
      <c r="D356" s="437"/>
      <c r="E356" s="437"/>
      <c r="F356" s="437"/>
      <c r="G356" s="437"/>
      <c r="H356" s="437"/>
      <c r="I356" s="437"/>
      <c r="J356" s="437"/>
      <c r="K356" s="437"/>
      <c r="L356" s="437"/>
      <c r="M356" s="437"/>
      <c r="N356" s="437"/>
    </row>
    <row r="357" spans="2:14" ht="12.75">
      <c r="B357" s="437"/>
      <c r="C357" s="437"/>
      <c r="D357" s="437"/>
      <c r="E357" s="437"/>
      <c r="F357" s="437"/>
      <c r="G357" s="437"/>
      <c r="H357" s="437"/>
      <c r="I357" s="437"/>
      <c r="J357" s="437"/>
      <c r="K357" s="437"/>
      <c r="L357" s="437"/>
      <c r="M357" s="437"/>
      <c r="N357" s="437"/>
    </row>
    <row r="358" spans="2:14" ht="12.75">
      <c r="B358" s="437"/>
      <c r="C358" s="437"/>
      <c r="D358" s="437"/>
      <c r="E358" s="437"/>
      <c r="F358" s="437"/>
      <c r="G358" s="437"/>
      <c r="H358" s="437"/>
      <c r="I358" s="437"/>
      <c r="J358" s="437"/>
      <c r="K358" s="437"/>
      <c r="L358" s="437"/>
      <c r="M358" s="437"/>
      <c r="N358" s="437"/>
    </row>
    <row r="359" spans="2:14" ht="12.75">
      <c r="B359" s="437"/>
      <c r="C359" s="437"/>
      <c r="D359" s="437"/>
      <c r="E359" s="437"/>
      <c r="F359" s="437"/>
      <c r="G359" s="437"/>
      <c r="H359" s="437"/>
      <c r="I359" s="437"/>
      <c r="J359" s="437"/>
      <c r="K359" s="437"/>
      <c r="L359" s="437"/>
      <c r="M359" s="437"/>
      <c r="N359" s="437"/>
    </row>
    <row r="360" spans="2:14" ht="12.75">
      <c r="B360" s="437"/>
      <c r="C360" s="437"/>
      <c r="D360" s="437"/>
      <c r="E360" s="437"/>
      <c r="F360" s="437"/>
      <c r="G360" s="437"/>
      <c r="H360" s="437"/>
      <c r="I360" s="437"/>
      <c r="J360" s="437"/>
      <c r="K360" s="437"/>
      <c r="L360" s="437"/>
      <c r="M360" s="437"/>
      <c r="N360" s="437"/>
    </row>
    <row r="361" spans="2:14" ht="12.75">
      <c r="B361" s="437"/>
      <c r="C361" s="437"/>
      <c r="D361" s="437"/>
      <c r="E361" s="437"/>
      <c r="F361" s="437"/>
      <c r="G361" s="437"/>
      <c r="H361" s="437"/>
      <c r="I361" s="437"/>
      <c r="J361" s="437"/>
      <c r="K361" s="437"/>
      <c r="L361" s="437"/>
      <c r="M361" s="437"/>
      <c r="N361" s="437"/>
    </row>
    <row r="362" spans="2:14" ht="12.75">
      <c r="B362" s="437"/>
      <c r="C362" s="437"/>
      <c r="D362" s="437"/>
      <c r="E362" s="437"/>
      <c r="F362" s="437"/>
      <c r="G362" s="437"/>
      <c r="H362" s="437"/>
      <c r="I362" s="437"/>
      <c r="J362" s="437"/>
      <c r="K362" s="437"/>
      <c r="L362" s="437"/>
      <c r="M362" s="437"/>
      <c r="N362" s="437"/>
    </row>
    <row r="363" spans="2:14" ht="12.75">
      <c r="B363" s="437"/>
      <c r="C363" s="437"/>
      <c r="D363" s="437"/>
      <c r="E363" s="437"/>
      <c r="F363" s="437"/>
      <c r="G363" s="437"/>
      <c r="H363" s="437"/>
      <c r="I363" s="437"/>
      <c r="J363" s="437"/>
      <c r="K363" s="437"/>
      <c r="L363" s="437"/>
      <c r="M363" s="437"/>
      <c r="N363" s="437"/>
    </row>
    <row r="364" spans="2:14" ht="12.75">
      <c r="B364" s="437"/>
      <c r="C364" s="437"/>
      <c r="D364" s="437"/>
      <c r="E364" s="437"/>
      <c r="F364" s="437"/>
      <c r="G364" s="437"/>
      <c r="H364" s="437"/>
      <c r="I364" s="437"/>
      <c r="J364" s="437"/>
      <c r="K364" s="437"/>
      <c r="L364" s="437"/>
      <c r="M364" s="437"/>
      <c r="N364" s="437"/>
    </row>
    <row r="365" spans="2:14" ht="12.75">
      <c r="B365" s="437"/>
      <c r="C365" s="437"/>
      <c r="D365" s="437"/>
      <c r="E365" s="437"/>
      <c r="F365" s="437"/>
      <c r="G365" s="437"/>
      <c r="H365" s="437"/>
      <c r="I365" s="437"/>
      <c r="J365" s="437"/>
      <c r="K365" s="437"/>
      <c r="L365" s="437"/>
      <c r="M365" s="437"/>
      <c r="N365" s="437"/>
    </row>
    <row r="366" spans="2:14" ht="12.75">
      <c r="B366" s="437"/>
      <c r="C366" s="437"/>
      <c r="D366" s="437"/>
      <c r="E366" s="437"/>
      <c r="F366" s="437"/>
      <c r="G366" s="437"/>
      <c r="H366" s="437"/>
      <c r="I366" s="437"/>
      <c r="J366" s="437"/>
      <c r="K366" s="437"/>
      <c r="L366" s="437"/>
      <c r="M366" s="437"/>
      <c r="N366" s="437"/>
    </row>
    <row r="367" spans="2:14" ht="12.75">
      <c r="B367" s="437"/>
      <c r="C367" s="437"/>
      <c r="D367" s="437"/>
      <c r="E367" s="437"/>
      <c r="F367" s="437"/>
      <c r="G367" s="437"/>
      <c r="H367" s="437"/>
      <c r="I367" s="437"/>
      <c r="J367" s="437"/>
      <c r="K367" s="437"/>
      <c r="L367" s="437"/>
      <c r="M367" s="437"/>
      <c r="N367" s="437"/>
    </row>
    <row r="368" spans="2:14" ht="12.75">
      <c r="B368" s="437"/>
      <c r="C368" s="437"/>
      <c r="D368" s="437"/>
      <c r="E368" s="437"/>
      <c r="F368" s="437"/>
      <c r="G368" s="437"/>
      <c r="H368" s="437"/>
      <c r="I368" s="437"/>
      <c r="J368" s="437"/>
      <c r="K368" s="437"/>
      <c r="L368" s="437"/>
      <c r="M368" s="437"/>
      <c r="N368" s="437"/>
    </row>
    <row r="369" spans="2:14" ht="12.75">
      <c r="B369" s="437"/>
      <c r="C369" s="437"/>
      <c r="D369" s="437"/>
      <c r="E369" s="437"/>
      <c r="F369" s="437"/>
      <c r="G369" s="437"/>
      <c r="H369" s="437"/>
      <c r="I369" s="437"/>
      <c r="J369" s="437"/>
      <c r="K369" s="437"/>
      <c r="L369" s="437"/>
      <c r="M369" s="437"/>
      <c r="N369" s="437"/>
    </row>
    <row r="370" spans="2:14" ht="12.75">
      <c r="B370" s="437"/>
      <c r="C370" s="437"/>
      <c r="D370" s="437"/>
      <c r="E370" s="437"/>
      <c r="F370" s="437"/>
      <c r="G370" s="437"/>
      <c r="H370" s="437"/>
      <c r="I370" s="437"/>
      <c r="J370" s="437"/>
      <c r="K370" s="437"/>
      <c r="L370" s="437"/>
      <c r="M370" s="437"/>
      <c r="N370" s="437"/>
    </row>
    <row r="371" spans="2:14" ht="12.75">
      <c r="B371" s="437"/>
      <c r="C371" s="437"/>
      <c r="D371" s="437"/>
      <c r="E371" s="437"/>
      <c r="F371" s="437"/>
      <c r="G371" s="437"/>
      <c r="H371" s="437"/>
      <c r="I371" s="437"/>
      <c r="J371" s="437"/>
      <c r="K371" s="437"/>
      <c r="L371" s="437"/>
      <c r="M371" s="437"/>
      <c r="N371" s="437"/>
    </row>
    <row r="372" spans="2:14" ht="12.75">
      <c r="B372" s="437"/>
      <c r="C372" s="437"/>
      <c r="D372" s="437"/>
      <c r="E372" s="437"/>
      <c r="F372" s="437"/>
      <c r="G372" s="437"/>
      <c r="H372" s="437"/>
      <c r="I372" s="437"/>
      <c r="J372" s="437"/>
      <c r="K372" s="437"/>
      <c r="L372" s="437"/>
      <c r="M372" s="437"/>
      <c r="N372" s="437"/>
    </row>
    <row r="373" spans="2:14" ht="12.75">
      <c r="B373" s="437"/>
      <c r="C373" s="437"/>
      <c r="D373" s="437"/>
      <c r="E373" s="437"/>
      <c r="F373" s="437"/>
      <c r="G373" s="437"/>
      <c r="H373" s="437"/>
      <c r="I373" s="437"/>
      <c r="J373" s="437"/>
      <c r="K373" s="437"/>
      <c r="L373" s="437"/>
      <c r="M373" s="437"/>
      <c r="N373" s="437"/>
    </row>
    <row r="374" spans="2:14" ht="12.75">
      <c r="B374" s="437"/>
      <c r="C374" s="437"/>
      <c r="D374" s="437"/>
      <c r="E374" s="437"/>
      <c r="F374" s="437"/>
      <c r="G374" s="437"/>
      <c r="H374" s="437"/>
      <c r="I374" s="437"/>
      <c r="J374" s="437"/>
      <c r="K374" s="437"/>
      <c r="L374" s="437"/>
      <c r="M374" s="437"/>
      <c r="N374" s="437"/>
    </row>
    <row r="375" spans="2:14" ht="12.75">
      <c r="B375" s="437"/>
      <c r="C375" s="437"/>
      <c r="D375" s="437"/>
      <c r="E375" s="437"/>
      <c r="F375" s="437"/>
      <c r="G375" s="437"/>
      <c r="H375" s="437"/>
      <c r="I375" s="437"/>
      <c r="J375" s="437"/>
      <c r="K375" s="437"/>
      <c r="L375" s="437"/>
      <c r="M375" s="437"/>
      <c r="N375" s="437"/>
    </row>
    <row r="376" spans="2:14" ht="12.75">
      <c r="B376" s="437"/>
      <c r="C376" s="437"/>
      <c r="D376" s="437"/>
      <c r="E376" s="437"/>
      <c r="F376" s="437"/>
      <c r="G376" s="437"/>
      <c r="H376" s="437"/>
      <c r="I376" s="437"/>
      <c r="J376" s="437"/>
      <c r="K376" s="437"/>
      <c r="L376" s="437"/>
      <c r="M376" s="437"/>
      <c r="N376" s="437"/>
    </row>
    <row r="377" spans="2:14" ht="12.75">
      <c r="B377" s="437"/>
      <c r="C377" s="437"/>
      <c r="D377" s="437"/>
      <c r="E377" s="437"/>
      <c r="F377" s="437"/>
      <c r="G377" s="437"/>
      <c r="H377" s="437"/>
      <c r="I377" s="437"/>
      <c r="J377" s="437"/>
      <c r="K377" s="437"/>
      <c r="L377" s="437"/>
      <c r="M377" s="437"/>
      <c r="N377" s="437"/>
    </row>
    <row r="378" spans="2:14" ht="12.75">
      <c r="B378" s="437"/>
      <c r="C378" s="437"/>
      <c r="D378" s="437"/>
      <c r="E378" s="437"/>
      <c r="F378" s="437"/>
      <c r="G378" s="437"/>
      <c r="H378" s="437"/>
      <c r="I378" s="437"/>
      <c r="J378" s="437"/>
      <c r="K378" s="437"/>
      <c r="L378" s="437"/>
      <c r="M378" s="437"/>
      <c r="N378" s="437"/>
    </row>
    <row r="379" spans="2:14" ht="12.75">
      <c r="B379" s="437"/>
      <c r="C379" s="437"/>
      <c r="D379" s="437"/>
      <c r="E379" s="437"/>
      <c r="F379" s="437"/>
      <c r="G379" s="437"/>
      <c r="H379" s="437"/>
      <c r="I379" s="437"/>
      <c r="J379" s="437"/>
      <c r="K379" s="437"/>
      <c r="L379" s="437"/>
      <c r="M379" s="437"/>
      <c r="N379" s="437"/>
    </row>
    <row r="380" spans="2:14" ht="12.75">
      <c r="B380" s="437"/>
      <c r="C380" s="437"/>
      <c r="D380" s="437"/>
      <c r="E380" s="437"/>
      <c r="F380" s="437"/>
      <c r="G380" s="437"/>
      <c r="H380" s="437"/>
      <c r="I380" s="437"/>
      <c r="J380" s="437"/>
      <c r="K380" s="437"/>
      <c r="L380" s="437"/>
      <c r="M380" s="437"/>
      <c r="N380" s="437"/>
    </row>
    <row r="381" spans="2:14" ht="12.75">
      <c r="B381" s="437"/>
      <c r="C381" s="437"/>
      <c r="D381" s="437"/>
      <c r="E381" s="437"/>
      <c r="F381" s="437"/>
      <c r="G381" s="437"/>
      <c r="H381" s="437"/>
      <c r="I381" s="437"/>
      <c r="J381" s="437"/>
      <c r="K381" s="437"/>
      <c r="L381" s="437"/>
      <c r="M381" s="437"/>
      <c r="N381" s="437"/>
    </row>
    <row r="382" spans="2:14" ht="12.75">
      <c r="B382" s="437"/>
      <c r="C382" s="437"/>
      <c r="D382" s="437"/>
      <c r="E382" s="437"/>
      <c r="F382" s="437"/>
      <c r="G382" s="437"/>
      <c r="H382" s="437"/>
      <c r="I382" s="437"/>
      <c r="J382" s="437"/>
      <c r="K382" s="437"/>
      <c r="L382" s="437"/>
      <c r="M382" s="437"/>
      <c r="N382" s="437"/>
    </row>
    <row r="383" spans="2:14" ht="12.75">
      <c r="B383" s="437"/>
      <c r="C383" s="437"/>
      <c r="D383" s="437"/>
      <c r="E383" s="437"/>
      <c r="F383" s="437"/>
      <c r="G383" s="437"/>
      <c r="H383" s="437"/>
      <c r="I383" s="437"/>
      <c r="J383" s="437"/>
      <c r="K383" s="437"/>
      <c r="L383" s="437"/>
      <c r="M383" s="437"/>
      <c r="N383" s="437"/>
    </row>
    <row r="384" spans="2:14" ht="12.75">
      <c r="B384" s="437"/>
      <c r="C384" s="437"/>
      <c r="D384" s="437"/>
      <c r="E384" s="437"/>
      <c r="F384" s="437"/>
      <c r="G384" s="437"/>
      <c r="H384" s="437"/>
      <c r="I384" s="437"/>
      <c r="J384" s="437"/>
      <c r="K384" s="437"/>
      <c r="L384" s="437"/>
      <c r="M384" s="437"/>
      <c r="N384" s="437"/>
    </row>
    <row r="385" spans="2:14" ht="12.75">
      <c r="B385" s="437"/>
      <c r="C385" s="437"/>
      <c r="D385" s="437"/>
      <c r="E385" s="437"/>
      <c r="F385" s="437"/>
      <c r="G385" s="437"/>
      <c r="H385" s="437"/>
      <c r="I385" s="437"/>
      <c r="J385" s="437"/>
      <c r="K385" s="437"/>
      <c r="L385" s="437"/>
      <c r="M385" s="437"/>
      <c r="N385" s="437"/>
    </row>
    <row r="386" spans="2:14" ht="12.75">
      <c r="B386" s="437"/>
      <c r="C386" s="437"/>
      <c r="D386" s="437"/>
      <c r="E386" s="437"/>
      <c r="F386" s="437"/>
      <c r="G386" s="437"/>
      <c r="H386" s="437"/>
      <c r="I386" s="437"/>
      <c r="J386" s="437"/>
      <c r="K386" s="437"/>
      <c r="L386" s="437"/>
      <c r="M386" s="437"/>
      <c r="N386" s="437"/>
    </row>
    <row r="387" spans="2:14" ht="12.75">
      <c r="B387" s="437"/>
      <c r="C387" s="437"/>
      <c r="D387" s="437"/>
      <c r="E387" s="437"/>
      <c r="F387" s="437"/>
      <c r="G387" s="437"/>
      <c r="H387" s="437"/>
      <c r="I387" s="437"/>
      <c r="J387" s="437"/>
      <c r="K387" s="437"/>
      <c r="L387" s="437"/>
      <c r="M387" s="437"/>
      <c r="N387" s="437"/>
    </row>
    <row r="388" spans="2:14" ht="12.75">
      <c r="B388" s="437"/>
      <c r="C388" s="437"/>
      <c r="D388" s="437"/>
      <c r="E388" s="437"/>
      <c r="F388" s="437"/>
      <c r="G388" s="437"/>
      <c r="H388" s="437"/>
      <c r="I388" s="437"/>
      <c r="J388" s="437"/>
      <c r="K388" s="437"/>
      <c r="L388" s="437"/>
      <c r="M388" s="437"/>
      <c r="N388" s="437"/>
    </row>
    <row r="389" spans="2:14" ht="12.75">
      <c r="B389" s="437"/>
      <c r="C389" s="437"/>
      <c r="D389" s="437"/>
      <c r="E389" s="437"/>
      <c r="F389" s="437"/>
      <c r="G389" s="437"/>
      <c r="H389" s="437"/>
      <c r="I389" s="437"/>
      <c r="J389" s="437"/>
      <c r="K389" s="437"/>
      <c r="L389" s="437"/>
      <c r="M389" s="437"/>
      <c r="N389" s="437"/>
    </row>
    <row r="390" spans="2:14" ht="12.75">
      <c r="B390" s="437"/>
      <c r="C390" s="437"/>
      <c r="D390" s="437"/>
      <c r="E390" s="437"/>
      <c r="F390" s="437"/>
      <c r="G390" s="437"/>
      <c r="H390" s="437"/>
      <c r="I390" s="437"/>
      <c r="J390" s="437"/>
      <c r="K390" s="437"/>
      <c r="L390" s="437"/>
      <c r="M390" s="437"/>
      <c r="N390" s="437"/>
    </row>
    <row r="391" spans="2:14" ht="12.75">
      <c r="B391" s="437"/>
      <c r="C391" s="437"/>
      <c r="D391" s="437"/>
      <c r="E391" s="437"/>
      <c r="F391" s="437"/>
      <c r="G391" s="437"/>
      <c r="H391" s="437"/>
      <c r="I391" s="437"/>
      <c r="J391" s="437"/>
      <c r="K391" s="437"/>
      <c r="L391" s="437"/>
      <c r="M391" s="437"/>
      <c r="N391" s="437"/>
    </row>
    <row r="392" spans="2:14" ht="12.75">
      <c r="B392" s="437"/>
      <c r="C392" s="437"/>
      <c r="D392" s="437"/>
      <c r="E392" s="437"/>
      <c r="F392" s="437"/>
      <c r="G392" s="437"/>
      <c r="H392" s="437"/>
      <c r="I392" s="437"/>
      <c r="J392" s="437"/>
      <c r="K392" s="437"/>
      <c r="L392" s="437"/>
      <c r="M392" s="437"/>
      <c r="N392" s="437"/>
    </row>
    <row r="393" spans="2:14" ht="12.75">
      <c r="B393" s="437"/>
      <c r="C393" s="437"/>
      <c r="D393" s="437"/>
      <c r="E393" s="437"/>
      <c r="F393" s="437"/>
      <c r="G393" s="437"/>
      <c r="H393" s="437"/>
      <c r="I393" s="437"/>
      <c r="J393" s="437"/>
      <c r="K393" s="437"/>
      <c r="L393" s="437"/>
      <c r="M393" s="437"/>
      <c r="N393" s="437"/>
    </row>
    <row r="394" spans="2:14" ht="12.75">
      <c r="B394" s="437"/>
      <c r="C394" s="437"/>
      <c r="D394" s="437"/>
      <c r="E394" s="437"/>
      <c r="F394" s="437"/>
      <c r="G394" s="437"/>
      <c r="H394" s="437"/>
      <c r="I394" s="437"/>
      <c r="J394" s="437"/>
      <c r="K394" s="437"/>
      <c r="L394" s="437"/>
      <c r="M394" s="437"/>
      <c r="N394" s="437"/>
    </row>
    <row r="395" spans="2:14" ht="12.75">
      <c r="B395" s="437"/>
      <c r="C395" s="437"/>
      <c r="D395" s="437"/>
      <c r="E395" s="437"/>
      <c r="F395" s="437"/>
      <c r="G395" s="437"/>
      <c r="H395" s="437"/>
      <c r="I395" s="437"/>
      <c r="J395" s="437"/>
      <c r="K395" s="437"/>
      <c r="L395" s="437"/>
      <c r="M395" s="437"/>
      <c r="N395" s="437"/>
    </row>
    <row r="396" spans="2:14" ht="12.75">
      <c r="B396" s="437"/>
      <c r="C396" s="437"/>
      <c r="D396" s="437"/>
      <c r="E396" s="437"/>
      <c r="F396" s="437"/>
      <c r="G396" s="437"/>
      <c r="H396" s="437"/>
      <c r="I396" s="437"/>
      <c r="J396" s="437"/>
      <c r="K396" s="437"/>
      <c r="L396" s="437"/>
      <c r="M396" s="437"/>
      <c r="N396" s="437"/>
    </row>
    <row r="397" spans="2:14" ht="12.75">
      <c r="B397" s="437"/>
      <c r="C397" s="437"/>
      <c r="D397" s="437"/>
      <c r="E397" s="437"/>
      <c r="F397" s="437"/>
      <c r="G397" s="437"/>
      <c r="H397" s="437"/>
      <c r="I397" s="437"/>
      <c r="J397" s="437"/>
      <c r="K397" s="437"/>
      <c r="L397" s="437"/>
      <c r="M397" s="437"/>
      <c r="N397" s="437"/>
    </row>
    <row r="398" spans="2:14" ht="12.75">
      <c r="B398" s="437"/>
      <c r="C398" s="437"/>
      <c r="D398" s="437"/>
      <c r="E398" s="437"/>
      <c r="F398" s="437"/>
      <c r="G398" s="437"/>
      <c r="H398" s="437"/>
      <c r="I398" s="437"/>
      <c r="J398" s="437"/>
      <c r="K398" s="437"/>
      <c r="L398" s="437"/>
      <c r="M398" s="437"/>
      <c r="N398" s="437"/>
    </row>
    <row r="399" spans="2:14" ht="12.75">
      <c r="B399" s="437"/>
      <c r="C399" s="437"/>
      <c r="D399" s="437"/>
      <c r="E399" s="437"/>
      <c r="F399" s="437"/>
      <c r="G399" s="437"/>
      <c r="H399" s="437"/>
      <c r="I399" s="437"/>
      <c r="J399" s="437"/>
      <c r="K399" s="437"/>
      <c r="L399" s="437"/>
      <c r="M399" s="437"/>
      <c r="N399" s="437"/>
    </row>
    <row r="400" spans="2:14" ht="12.75">
      <c r="B400" s="437"/>
      <c r="C400" s="437"/>
      <c r="D400" s="437"/>
      <c r="E400" s="437"/>
      <c r="F400" s="437"/>
      <c r="G400" s="437"/>
      <c r="H400" s="437"/>
      <c r="I400" s="437"/>
      <c r="J400" s="437"/>
      <c r="K400" s="437"/>
      <c r="L400" s="437"/>
      <c r="M400" s="437"/>
      <c r="N400" s="437"/>
    </row>
    <row r="401" spans="2:14" ht="12.75">
      <c r="B401" s="437"/>
      <c r="C401" s="437"/>
      <c r="D401" s="437"/>
      <c r="E401" s="437"/>
      <c r="F401" s="437"/>
      <c r="G401" s="437"/>
      <c r="H401" s="437"/>
      <c r="I401" s="437"/>
      <c r="J401" s="437"/>
      <c r="K401" s="437"/>
      <c r="L401" s="437"/>
      <c r="M401" s="437"/>
      <c r="N401" s="437"/>
    </row>
    <row r="402" spans="2:14" ht="12.75">
      <c r="B402" s="437"/>
      <c r="C402" s="437"/>
      <c r="D402" s="437"/>
      <c r="E402" s="437"/>
      <c r="F402" s="437"/>
      <c r="G402" s="437"/>
      <c r="H402" s="437"/>
      <c r="I402" s="437"/>
      <c r="J402" s="437"/>
      <c r="K402" s="437"/>
      <c r="L402" s="437"/>
      <c r="M402" s="437"/>
      <c r="N402" s="437"/>
    </row>
    <row r="403" spans="2:14" ht="12.75">
      <c r="B403" s="437"/>
      <c r="C403" s="437"/>
      <c r="D403" s="437"/>
      <c r="E403" s="437"/>
      <c r="F403" s="437"/>
      <c r="G403" s="437"/>
      <c r="H403" s="437"/>
      <c r="I403" s="437"/>
      <c r="J403" s="437"/>
      <c r="K403" s="437"/>
      <c r="L403" s="437"/>
      <c r="M403" s="437"/>
      <c r="N403" s="437"/>
    </row>
    <row r="404" spans="2:14" ht="12.75">
      <c r="B404" s="437"/>
      <c r="C404" s="437"/>
      <c r="D404" s="437"/>
      <c r="E404" s="437"/>
      <c r="F404" s="437"/>
      <c r="G404" s="437"/>
      <c r="H404" s="437"/>
      <c r="I404" s="437"/>
      <c r="J404" s="437"/>
      <c r="K404" s="437"/>
      <c r="L404" s="437"/>
      <c r="M404" s="437"/>
      <c r="N404" s="437"/>
    </row>
    <row r="405" spans="2:14" ht="12.75">
      <c r="B405" s="437"/>
      <c r="C405" s="437"/>
      <c r="D405" s="437"/>
      <c r="E405" s="437"/>
      <c r="F405" s="437"/>
      <c r="G405" s="437"/>
      <c r="H405" s="437"/>
      <c r="I405" s="437"/>
      <c r="J405" s="437"/>
      <c r="K405" s="437"/>
      <c r="L405" s="437"/>
      <c r="M405" s="437"/>
      <c r="N405" s="437"/>
    </row>
    <row r="406" spans="2:14" ht="12.75">
      <c r="B406" s="437"/>
      <c r="C406" s="437"/>
      <c r="D406" s="437"/>
      <c r="E406" s="437"/>
      <c r="F406" s="437"/>
      <c r="G406" s="437"/>
      <c r="H406" s="437"/>
      <c r="I406" s="437"/>
      <c r="J406" s="437"/>
      <c r="K406" s="437"/>
      <c r="L406" s="437"/>
      <c r="M406" s="437"/>
      <c r="N406" s="437"/>
    </row>
    <row r="407" spans="2:14" ht="12.75">
      <c r="B407" s="437"/>
      <c r="C407" s="437"/>
      <c r="D407" s="437"/>
      <c r="E407" s="437"/>
      <c r="F407" s="437"/>
      <c r="G407" s="437"/>
      <c r="H407" s="437"/>
      <c r="I407" s="437"/>
      <c r="J407" s="437"/>
      <c r="K407" s="437"/>
      <c r="L407" s="437"/>
      <c r="M407" s="437"/>
      <c r="N407" s="437"/>
    </row>
    <row r="408" spans="2:14" ht="12.75">
      <c r="B408" s="437"/>
      <c r="C408" s="437"/>
      <c r="D408" s="437"/>
      <c r="E408" s="437"/>
      <c r="F408" s="437"/>
      <c r="G408" s="437"/>
      <c r="H408" s="437"/>
      <c r="I408" s="437"/>
      <c r="J408" s="437"/>
      <c r="K408" s="437"/>
      <c r="L408" s="437"/>
      <c r="M408" s="437"/>
      <c r="N408" s="437"/>
    </row>
    <row r="409" spans="2:14" ht="12.75">
      <c r="B409" s="437"/>
      <c r="C409" s="437"/>
      <c r="D409" s="437"/>
      <c r="E409" s="437"/>
      <c r="F409" s="437"/>
      <c r="G409" s="437"/>
      <c r="H409" s="437"/>
      <c r="I409" s="437"/>
      <c r="J409" s="437"/>
      <c r="K409" s="437"/>
      <c r="L409" s="437"/>
      <c r="M409" s="437"/>
      <c r="N409" s="437"/>
    </row>
    <row r="410" spans="2:14" ht="12.75">
      <c r="B410" s="437"/>
      <c r="C410" s="437"/>
      <c r="D410" s="437"/>
      <c r="E410" s="437"/>
      <c r="F410" s="437"/>
      <c r="G410" s="437"/>
      <c r="H410" s="437"/>
      <c r="I410" s="437"/>
      <c r="J410" s="437"/>
      <c r="K410" s="437"/>
      <c r="L410" s="437"/>
      <c r="M410" s="437"/>
      <c r="N410" s="437"/>
    </row>
    <row r="411" spans="2:14" ht="12.75">
      <c r="B411" s="437"/>
      <c r="C411" s="437"/>
      <c r="D411" s="437"/>
      <c r="E411" s="437"/>
      <c r="F411" s="437"/>
      <c r="G411" s="437"/>
      <c r="H411" s="437"/>
      <c r="I411" s="437"/>
      <c r="J411" s="437"/>
      <c r="K411" s="437"/>
      <c r="L411" s="437"/>
      <c r="M411" s="437"/>
      <c r="N411" s="437"/>
    </row>
    <row r="412" spans="2:14" ht="12.75">
      <c r="B412" s="437"/>
      <c r="C412" s="437"/>
      <c r="D412" s="437"/>
      <c r="E412" s="437"/>
      <c r="F412" s="437"/>
      <c r="G412" s="437"/>
      <c r="H412" s="437"/>
      <c r="I412" s="437"/>
      <c r="J412" s="437"/>
      <c r="K412" s="437"/>
      <c r="L412" s="437"/>
      <c r="M412" s="437"/>
      <c r="N412" s="437"/>
    </row>
    <row r="413" spans="2:14" ht="12.75">
      <c r="B413" s="437"/>
      <c r="C413" s="437"/>
      <c r="D413" s="437"/>
      <c r="E413" s="437"/>
      <c r="F413" s="437"/>
      <c r="G413" s="437"/>
      <c r="H413" s="437"/>
      <c r="I413" s="437"/>
      <c r="J413" s="437"/>
      <c r="K413" s="437"/>
      <c r="L413" s="437"/>
      <c r="M413" s="437"/>
      <c r="N413" s="437"/>
    </row>
    <row r="414" spans="2:14" ht="12.75">
      <c r="B414" s="437"/>
      <c r="C414" s="437"/>
      <c r="D414" s="437"/>
      <c r="E414" s="437"/>
      <c r="F414" s="437"/>
      <c r="G414" s="437"/>
      <c r="H414" s="437"/>
      <c r="I414" s="437"/>
      <c r="J414" s="437"/>
      <c r="K414" s="437"/>
      <c r="L414" s="437"/>
      <c r="M414" s="437"/>
      <c r="N414" s="437"/>
    </row>
    <row r="415" spans="2:14" ht="12.75">
      <c r="B415" s="437"/>
      <c r="C415" s="437"/>
      <c r="D415" s="437"/>
      <c r="E415" s="437"/>
      <c r="F415" s="437"/>
      <c r="G415" s="437"/>
      <c r="H415" s="437"/>
      <c r="I415" s="437"/>
      <c r="J415" s="437"/>
      <c r="K415" s="437"/>
      <c r="L415" s="437"/>
      <c r="M415" s="437"/>
      <c r="N415" s="437"/>
    </row>
    <row r="416" spans="2:14" ht="12.75">
      <c r="B416" s="437"/>
      <c r="C416" s="437"/>
      <c r="D416" s="437"/>
      <c r="E416" s="437"/>
      <c r="F416" s="437"/>
      <c r="G416" s="437"/>
      <c r="H416" s="437"/>
      <c r="I416" s="437"/>
      <c r="J416" s="437"/>
      <c r="K416" s="437"/>
      <c r="L416" s="437"/>
      <c r="M416" s="437"/>
      <c r="N416" s="437"/>
    </row>
    <row r="417" spans="2:14" ht="12.75">
      <c r="B417" s="437"/>
      <c r="C417" s="437"/>
      <c r="D417" s="437"/>
      <c r="E417" s="437"/>
      <c r="F417" s="437"/>
      <c r="G417" s="437"/>
      <c r="H417" s="437"/>
      <c r="I417" s="437"/>
      <c r="J417" s="437"/>
      <c r="K417" s="437"/>
      <c r="L417" s="437"/>
      <c r="M417" s="437"/>
      <c r="N417" s="437"/>
    </row>
    <row r="418" spans="2:14" ht="12.75">
      <c r="B418" s="437"/>
      <c r="C418" s="437"/>
      <c r="D418" s="437"/>
      <c r="E418" s="437"/>
      <c r="F418" s="437"/>
      <c r="G418" s="437"/>
      <c r="H418" s="437"/>
      <c r="I418" s="437"/>
      <c r="J418" s="437"/>
      <c r="K418" s="437"/>
      <c r="L418" s="437"/>
      <c r="M418" s="437"/>
      <c r="N418" s="437"/>
    </row>
    <row r="419" spans="2:14" ht="12.75">
      <c r="B419" s="437"/>
      <c r="C419" s="437"/>
      <c r="D419" s="437"/>
      <c r="E419" s="437"/>
      <c r="F419" s="437"/>
      <c r="G419" s="437"/>
      <c r="H419" s="437"/>
      <c r="I419" s="437"/>
      <c r="J419" s="437"/>
      <c r="K419" s="437"/>
      <c r="L419" s="437"/>
      <c r="M419" s="437"/>
      <c r="N419" s="437"/>
    </row>
    <row r="420" spans="2:14" ht="12.75">
      <c r="B420" s="437"/>
      <c r="C420" s="437"/>
      <c r="D420" s="437"/>
      <c r="E420" s="437"/>
      <c r="F420" s="437"/>
      <c r="G420" s="437"/>
      <c r="H420" s="437"/>
      <c r="I420" s="437"/>
      <c r="J420" s="437"/>
      <c r="K420" s="437"/>
      <c r="L420" s="437"/>
      <c r="M420" s="437"/>
      <c r="N420" s="437"/>
    </row>
    <row r="421" spans="2:14" ht="12.75">
      <c r="B421" s="437"/>
      <c r="C421" s="437"/>
      <c r="D421" s="437"/>
      <c r="E421" s="437"/>
      <c r="F421" s="437"/>
      <c r="G421" s="437"/>
      <c r="H421" s="437"/>
      <c r="I421" s="437"/>
      <c r="J421" s="437"/>
      <c r="K421" s="437"/>
      <c r="L421" s="437"/>
      <c r="M421" s="437"/>
      <c r="N421" s="437"/>
    </row>
    <row r="422" spans="2:14" ht="12.75">
      <c r="B422" s="437"/>
      <c r="C422" s="437"/>
      <c r="D422" s="437"/>
      <c r="E422" s="437"/>
      <c r="F422" s="437"/>
      <c r="G422" s="437"/>
      <c r="H422" s="437"/>
      <c r="I422" s="437"/>
      <c r="J422" s="437"/>
      <c r="K422" s="437"/>
      <c r="L422" s="437"/>
      <c r="M422" s="437"/>
      <c r="N422" s="437"/>
    </row>
    <row r="423" spans="2:14" ht="12.75">
      <c r="B423" s="437"/>
      <c r="C423" s="437"/>
      <c r="D423" s="437"/>
      <c r="E423" s="437"/>
      <c r="F423" s="437"/>
      <c r="G423" s="437"/>
      <c r="H423" s="437"/>
      <c r="I423" s="437"/>
      <c r="J423" s="437"/>
      <c r="K423" s="437"/>
      <c r="L423" s="437"/>
      <c r="M423" s="437"/>
      <c r="N423" s="437"/>
    </row>
    <row r="424" spans="2:14" ht="12.75">
      <c r="B424" s="437"/>
      <c r="C424" s="437"/>
      <c r="D424" s="437"/>
      <c r="E424" s="437"/>
      <c r="F424" s="437"/>
      <c r="G424" s="437"/>
      <c r="H424" s="437"/>
      <c r="I424" s="437"/>
      <c r="J424" s="437"/>
      <c r="K424" s="437"/>
      <c r="L424" s="437"/>
      <c r="M424" s="437"/>
      <c r="N424" s="437"/>
    </row>
    <row r="425" spans="2:14" ht="12.75">
      <c r="B425" s="437"/>
      <c r="C425" s="437"/>
      <c r="D425" s="437"/>
      <c r="E425" s="437"/>
      <c r="F425" s="437"/>
      <c r="G425" s="437"/>
      <c r="H425" s="437"/>
      <c r="I425" s="437"/>
      <c r="J425" s="437"/>
      <c r="K425" s="437"/>
      <c r="L425" s="437"/>
      <c r="M425" s="437"/>
      <c r="N425" s="437"/>
    </row>
    <row r="426" spans="2:14" ht="12.75">
      <c r="B426" s="437"/>
      <c r="C426" s="437"/>
      <c r="D426" s="437"/>
      <c r="E426" s="437"/>
      <c r="F426" s="437"/>
      <c r="G426" s="437"/>
      <c r="H426" s="437"/>
      <c r="I426" s="437"/>
      <c r="J426" s="437"/>
      <c r="K426" s="437"/>
      <c r="L426" s="437"/>
      <c r="M426" s="437"/>
      <c r="N426" s="437"/>
    </row>
    <row r="427" spans="2:14" ht="12.75">
      <c r="B427" s="437"/>
      <c r="C427" s="437"/>
      <c r="D427" s="437"/>
      <c r="E427" s="437"/>
      <c r="F427" s="437"/>
      <c r="G427" s="437"/>
      <c r="H427" s="437"/>
      <c r="I427" s="437"/>
      <c r="J427" s="437"/>
      <c r="K427" s="437"/>
      <c r="L427" s="437"/>
      <c r="M427" s="437"/>
      <c r="N427" s="437"/>
    </row>
    <row r="428" spans="2:14" ht="12.75">
      <c r="B428" s="437"/>
      <c r="C428" s="437"/>
      <c r="D428" s="437"/>
      <c r="E428" s="437"/>
      <c r="F428" s="437"/>
      <c r="G428" s="437"/>
      <c r="H428" s="437"/>
      <c r="I428" s="437"/>
      <c r="J428" s="437"/>
      <c r="K428" s="437"/>
      <c r="L428" s="437"/>
      <c r="M428" s="437"/>
      <c r="N428" s="437"/>
    </row>
    <row r="429" spans="2:14" ht="12.75">
      <c r="B429" s="437"/>
      <c r="C429" s="437"/>
      <c r="D429" s="437"/>
      <c r="E429" s="437"/>
      <c r="F429" s="437"/>
      <c r="G429" s="437"/>
      <c r="H429" s="437"/>
      <c r="I429" s="437"/>
      <c r="J429" s="437"/>
      <c r="K429" s="437"/>
      <c r="L429" s="437"/>
      <c r="M429" s="437"/>
      <c r="N429" s="437"/>
    </row>
    <row r="430" spans="2:14" ht="12.75">
      <c r="B430" s="437"/>
      <c r="C430" s="437"/>
      <c r="D430" s="437"/>
      <c r="E430" s="437"/>
      <c r="F430" s="437"/>
      <c r="G430" s="437"/>
      <c r="H430" s="437"/>
      <c r="I430" s="437"/>
      <c r="J430" s="437"/>
      <c r="K430" s="437"/>
      <c r="L430" s="437"/>
      <c r="M430" s="437"/>
      <c r="N430" s="437"/>
    </row>
    <row r="431" spans="2:14" ht="12.75">
      <c r="B431" s="437"/>
      <c r="C431" s="437"/>
      <c r="D431" s="437"/>
      <c r="E431" s="437"/>
      <c r="F431" s="437"/>
      <c r="G431" s="437"/>
      <c r="H431" s="437"/>
      <c r="I431" s="437"/>
      <c r="J431" s="437"/>
      <c r="K431" s="437"/>
      <c r="L431" s="437"/>
      <c r="M431" s="437"/>
      <c r="N431" s="437"/>
    </row>
    <row r="432" spans="2:14" ht="12.75">
      <c r="B432" s="437"/>
      <c r="C432" s="437"/>
      <c r="D432" s="437"/>
      <c r="E432" s="437"/>
      <c r="F432" s="437"/>
      <c r="G432" s="437"/>
      <c r="H432" s="437"/>
      <c r="I432" s="437"/>
      <c r="J432" s="437"/>
      <c r="K432" s="437"/>
      <c r="L432" s="437"/>
      <c r="M432" s="437"/>
      <c r="N432" s="437"/>
    </row>
    <row r="433" spans="2:14" ht="12.75">
      <c r="B433" s="437"/>
      <c r="C433" s="437"/>
      <c r="D433" s="437"/>
      <c r="E433" s="437"/>
      <c r="F433" s="437"/>
      <c r="G433" s="437"/>
      <c r="H433" s="437"/>
      <c r="I433" s="437"/>
      <c r="J433" s="437"/>
      <c r="K433" s="437"/>
      <c r="L433" s="437"/>
      <c r="M433" s="437"/>
      <c r="N433" s="437"/>
    </row>
    <row r="434" spans="2:14" ht="12.75">
      <c r="B434" s="437"/>
      <c r="C434" s="437"/>
      <c r="D434" s="437"/>
      <c r="E434" s="437"/>
      <c r="F434" s="437"/>
      <c r="G434" s="437"/>
      <c r="H434" s="437"/>
      <c r="I434" s="437"/>
      <c r="J434" s="437"/>
      <c r="K434" s="437"/>
      <c r="L434" s="437"/>
      <c r="M434" s="437"/>
      <c r="N434" s="437"/>
    </row>
    <row r="435" spans="2:14" ht="12.75">
      <c r="B435" s="437"/>
      <c r="C435" s="437"/>
      <c r="D435" s="437"/>
      <c r="E435" s="437"/>
      <c r="F435" s="437"/>
      <c r="G435" s="437"/>
      <c r="H435" s="437"/>
      <c r="I435" s="437"/>
      <c r="J435" s="437"/>
      <c r="K435" s="437"/>
      <c r="L435" s="437"/>
      <c r="M435" s="437"/>
      <c r="N435" s="437"/>
    </row>
    <row r="436" spans="2:14" ht="12.75">
      <c r="B436" s="437"/>
      <c r="C436" s="437"/>
      <c r="D436" s="437"/>
      <c r="E436" s="437"/>
      <c r="F436" s="437"/>
      <c r="G436" s="437"/>
      <c r="H436" s="437"/>
      <c r="I436" s="437"/>
      <c r="J436" s="437"/>
      <c r="K436" s="437"/>
      <c r="L436" s="437"/>
      <c r="M436" s="437"/>
      <c r="N436" s="437"/>
    </row>
    <row r="437" spans="2:14" ht="12.75">
      <c r="B437" s="437"/>
      <c r="C437" s="437"/>
      <c r="D437" s="437"/>
      <c r="E437" s="437"/>
      <c r="F437" s="437"/>
      <c r="G437" s="437"/>
      <c r="H437" s="437"/>
      <c r="I437" s="437"/>
      <c r="J437" s="437"/>
      <c r="K437" s="437"/>
      <c r="L437" s="437"/>
      <c r="M437" s="437"/>
      <c r="N437" s="437"/>
    </row>
    <row r="438" spans="2:14" ht="12.75">
      <c r="B438" s="437"/>
      <c r="C438" s="437"/>
      <c r="D438" s="437"/>
      <c r="E438" s="437"/>
      <c r="F438" s="437"/>
      <c r="G438" s="437"/>
      <c r="H438" s="437"/>
      <c r="I438" s="437"/>
      <c r="J438" s="437"/>
      <c r="K438" s="437"/>
      <c r="L438" s="437"/>
      <c r="M438" s="437"/>
      <c r="N438" s="437"/>
    </row>
    <row r="439" spans="2:14" ht="12.75">
      <c r="B439" s="437"/>
      <c r="C439" s="437"/>
      <c r="D439" s="437"/>
      <c r="E439" s="437"/>
      <c r="F439" s="437"/>
      <c r="G439" s="437"/>
      <c r="H439" s="437"/>
      <c r="I439" s="437"/>
      <c r="J439" s="437"/>
      <c r="K439" s="437"/>
      <c r="L439" s="437"/>
      <c r="M439" s="437"/>
      <c r="N439" s="437"/>
    </row>
    <row r="440" spans="2:14" ht="12.75">
      <c r="B440" s="437"/>
      <c r="C440" s="437"/>
      <c r="D440" s="437"/>
      <c r="E440" s="437"/>
      <c r="F440" s="437"/>
      <c r="G440" s="437"/>
      <c r="H440" s="437"/>
      <c r="I440" s="437"/>
      <c r="J440" s="437"/>
      <c r="K440" s="437"/>
      <c r="L440" s="437"/>
      <c r="M440" s="437"/>
      <c r="N440" s="437"/>
    </row>
    <row r="441" spans="2:14" ht="12.75">
      <c r="B441" s="437"/>
      <c r="C441" s="437"/>
      <c r="D441" s="437"/>
      <c r="E441" s="437"/>
      <c r="F441" s="437"/>
      <c r="G441" s="437"/>
      <c r="H441" s="437"/>
      <c r="I441" s="437"/>
      <c r="J441" s="437"/>
      <c r="K441" s="437"/>
      <c r="L441" s="437"/>
      <c r="M441" s="437"/>
      <c r="N441" s="437"/>
    </row>
    <row r="442" spans="2:14" ht="12.75">
      <c r="B442" s="437"/>
      <c r="C442" s="437"/>
      <c r="D442" s="437"/>
      <c r="E442" s="437"/>
      <c r="F442" s="437"/>
      <c r="G442" s="437"/>
      <c r="H442" s="437"/>
      <c r="I442" s="437"/>
      <c r="J442" s="437"/>
      <c r="K442" s="437"/>
      <c r="L442" s="437"/>
      <c r="M442" s="437"/>
      <c r="N442" s="437"/>
    </row>
    <row r="443" spans="2:14" ht="12.75">
      <c r="B443" s="437"/>
      <c r="C443" s="437"/>
      <c r="D443" s="437"/>
      <c r="E443" s="437"/>
      <c r="F443" s="437"/>
      <c r="G443" s="437"/>
      <c r="H443" s="437"/>
      <c r="I443" s="437"/>
      <c r="J443" s="437"/>
      <c r="K443" s="437"/>
      <c r="L443" s="437"/>
      <c r="M443" s="437"/>
      <c r="N443" s="437"/>
    </row>
    <row r="444" spans="2:14" ht="12.75">
      <c r="B444" s="437"/>
      <c r="C444" s="437"/>
      <c r="D444" s="437"/>
      <c r="E444" s="437"/>
      <c r="F444" s="437"/>
      <c r="G444" s="437"/>
      <c r="H444" s="437"/>
      <c r="I444" s="437"/>
      <c r="J444" s="437"/>
      <c r="K444" s="437"/>
      <c r="L444" s="437"/>
      <c r="M444" s="437"/>
      <c r="N444" s="437"/>
    </row>
    <row r="445" spans="2:14" ht="12.75">
      <c r="B445" s="437"/>
      <c r="C445" s="437"/>
      <c r="D445" s="437"/>
      <c r="E445" s="437"/>
      <c r="F445" s="437"/>
      <c r="G445" s="437"/>
      <c r="H445" s="437"/>
      <c r="I445" s="437"/>
      <c r="J445" s="437"/>
      <c r="K445" s="437"/>
      <c r="L445" s="437"/>
      <c r="M445" s="437"/>
      <c r="N445" s="437"/>
    </row>
    <row r="446" spans="2:14" ht="12.75">
      <c r="B446" s="437"/>
      <c r="C446" s="437"/>
      <c r="D446" s="437"/>
      <c r="E446" s="437"/>
      <c r="F446" s="437"/>
      <c r="G446" s="437"/>
      <c r="H446" s="437"/>
      <c r="I446" s="437"/>
      <c r="J446" s="437"/>
      <c r="K446" s="437"/>
      <c r="L446" s="437"/>
      <c r="M446" s="437"/>
      <c r="N446" s="437"/>
    </row>
    <row r="447" spans="2:14" ht="12.75">
      <c r="B447" s="437"/>
      <c r="C447" s="437"/>
      <c r="D447" s="437"/>
      <c r="E447" s="437"/>
      <c r="F447" s="437"/>
      <c r="G447" s="437"/>
      <c r="H447" s="437"/>
      <c r="I447" s="437"/>
      <c r="J447" s="437"/>
      <c r="K447" s="437"/>
      <c r="L447" s="437"/>
      <c r="M447" s="437"/>
      <c r="N447" s="437"/>
    </row>
    <row r="448" spans="2:14" ht="12.75">
      <c r="B448" s="437"/>
      <c r="C448" s="437"/>
      <c r="D448" s="437"/>
      <c r="E448" s="437"/>
      <c r="F448" s="437"/>
      <c r="G448" s="437"/>
      <c r="H448" s="437"/>
      <c r="I448" s="437"/>
      <c r="J448" s="437"/>
      <c r="K448" s="437"/>
      <c r="L448" s="437"/>
      <c r="M448" s="437"/>
      <c r="N448" s="437"/>
    </row>
    <row r="449" spans="2:14" ht="12.75">
      <c r="B449" s="437"/>
      <c r="C449" s="437"/>
      <c r="D449" s="437"/>
      <c r="E449" s="437"/>
      <c r="F449" s="437"/>
      <c r="G449" s="437"/>
      <c r="H449" s="437"/>
      <c r="I449" s="437"/>
      <c r="J449" s="437"/>
      <c r="K449" s="437"/>
      <c r="L449" s="437"/>
      <c r="M449" s="437"/>
      <c r="N449" s="437"/>
    </row>
    <row r="450" spans="2:14" ht="12.75">
      <c r="B450" s="437"/>
      <c r="C450" s="437"/>
      <c r="D450" s="437"/>
      <c r="E450" s="437"/>
      <c r="F450" s="437"/>
      <c r="G450" s="437"/>
      <c r="H450" s="437"/>
      <c r="I450" s="437"/>
      <c r="J450" s="437"/>
      <c r="K450" s="437"/>
      <c r="L450" s="437"/>
      <c r="M450" s="437"/>
      <c r="N450" s="437"/>
    </row>
    <row r="451" spans="2:14" ht="12.75">
      <c r="B451" s="437"/>
      <c r="C451" s="437"/>
      <c r="D451" s="437"/>
      <c r="E451" s="437"/>
      <c r="F451" s="437"/>
      <c r="G451" s="437"/>
      <c r="H451" s="437"/>
      <c r="I451" s="437"/>
      <c r="J451" s="437"/>
      <c r="K451" s="437"/>
      <c r="L451" s="437"/>
      <c r="M451" s="437"/>
      <c r="N451" s="437"/>
    </row>
    <row r="452" spans="2:14" ht="12.75">
      <c r="B452" s="437"/>
      <c r="C452" s="437"/>
      <c r="D452" s="437"/>
      <c r="E452" s="437"/>
      <c r="F452" s="437"/>
      <c r="G452" s="437"/>
      <c r="H452" s="437"/>
      <c r="I452" s="437"/>
      <c r="J452" s="437"/>
      <c r="K452" s="437"/>
      <c r="L452" s="437"/>
      <c r="M452" s="437"/>
      <c r="N452" s="437"/>
    </row>
    <row r="453" spans="2:14" ht="12.75">
      <c r="B453" s="437"/>
      <c r="C453" s="437"/>
      <c r="D453" s="437"/>
      <c r="E453" s="437"/>
      <c r="F453" s="437"/>
      <c r="G453" s="437"/>
      <c r="H453" s="437"/>
      <c r="I453" s="437"/>
      <c r="J453" s="437"/>
      <c r="K453" s="437"/>
      <c r="L453" s="437"/>
      <c r="M453" s="437"/>
      <c r="N453" s="437"/>
    </row>
    <row r="454" spans="2:14" ht="12.75">
      <c r="B454" s="437"/>
      <c r="C454" s="437"/>
      <c r="D454" s="437"/>
      <c r="E454" s="437"/>
      <c r="F454" s="437"/>
      <c r="G454" s="437"/>
      <c r="H454" s="437"/>
      <c r="I454" s="437"/>
      <c r="J454" s="437"/>
      <c r="K454" s="437"/>
      <c r="L454" s="437"/>
      <c r="M454" s="437"/>
      <c r="N454" s="437"/>
    </row>
    <row r="455" spans="2:14" ht="12.75">
      <c r="B455" s="437"/>
      <c r="C455" s="437"/>
      <c r="D455" s="437"/>
      <c r="E455" s="437"/>
      <c r="F455" s="437"/>
      <c r="G455" s="437"/>
      <c r="H455" s="437"/>
      <c r="I455" s="437"/>
      <c r="J455" s="437"/>
      <c r="K455" s="437"/>
      <c r="L455" s="437"/>
      <c r="M455" s="437"/>
      <c r="N455" s="437"/>
    </row>
    <row r="456" spans="2:14" ht="12.75">
      <c r="B456" s="437"/>
      <c r="C456" s="437"/>
      <c r="D456" s="437"/>
      <c r="E456" s="437"/>
      <c r="F456" s="437"/>
      <c r="G456" s="437"/>
      <c r="H456" s="437"/>
      <c r="I456" s="437"/>
      <c r="J456" s="437"/>
      <c r="K456" s="437"/>
      <c r="L456" s="437"/>
      <c r="M456" s="437"/>
      <c r="N456" s="437"/>
    </row>
    <row r="457" spans="2:14" ht="12.75">
      <c r="B457" s="437"/>
      <c r="C457" s="437"/>
      <c r="D457" s="437"/>
      <c r="E457" s="437"/>
      <c r="F457" s="437"/>
      <c r="G457" s="437"/>
      <c r="H457" s="437"/>
      <c r="I457" s="437"/>
      <c r="J457" s="437"/>
      <c r="K457" s="437"/>
      <c r="L457" s="437"/>
      <c r="M457" s="437"/>
      <c r="N457" s="437"/>
    </row>
    <row r="458" spans="2:14" ht="12.75">
      <c r="B458" s="437"/>
      <c r="C458" s="437"/>
      <c r="D458" s="437"/>
      <c r="E458" s="437"/>
      <c r="F458" s="437"/>
      <c r="G458" s="437"/>
      <c r="H458" s="437"/>
      <c r="I458" s="437"/>
      <c r="J458" s="437"/>
      <c r="K458" s="437"/>
      <c r="L458" s="437"/>
      <c r="M458" s="437"/>
      <c r="N458" s="437"/>
    </row>
    <row r="459" spans="2:14" ht="12.75">
      <c r="B459" s="437"/>
      <c r="C459" s="437"/>
      <c r="D459" s="437"/>
      <c r="E459" s="437"/>
      <c r="F459" s="437"/>
      <c r="G459" s="437"/>
      <c r="H459" s="437"/>
      <c r="I459" s="437"/>
      <c r="J459" s="437"/>
      <c r="K459" s="437"/>
      <c r="L459" s="437"/>
      <c r="M459" s="437"/>
      <c r="N459" s="437"/>
    </row>
    <row r="460" spans="2:14" ht="12.75">
      <c r="B460" s="437"/>
      <c r="C460" s="437"/>
      <c r="D460" s="437"/>
      <c r="E460" s="437"/>
      <c r="F460" s="437"/>
      <c r="G460" s="437"/>
      <c r="H460" s="437"/>
      <c r="I460" s="437"/>
      <c r="J460" s="437"/>
      <c r="K460" s="437"/>
      <c r="L460" s="437"/>
      <c r="M460" s="437"/>
      <c r="N460" s="437"/>
    </row>
    <row r="461" spans="2:14" ht="12.75">
      <c r="B461" s="437"/>
      <c r="C461" s="437"/>
      <c r="D461" s="437"/>
      <c r="E461" s="437"/>
      <c r="F461" s="437"/>
      <c r="G461" s="437"/>
      <c r="H461" s="437"/>
      <c r="I461" s="437"/>
      <c r="J461" s="437"/>
      <c r="K461" s="437"/>
      <c r="L461" s="437"/>
      <c r="M461" s="437"/>
      <c r="N461" s="437"/>
    </row>
    <row r="462" spans="2:14" ht="12.75">
      <c r="B462" s="437"/>
      <c r="C462" s="437"/>
      <c r="D462" s="437"/>
      <c r="E462" s="437"/>
      <c r="F462" s="437"/>
      <c r="G462" s="437"/>
      <c r="H462" s="437"/>
      <c r="I462" s="437"/>
      <c r="J462" s="437"/>
      <c r="K462" s="437"/>
      <c r="L462" s="437"/>
      <c r="M462" s="437"/>
      <c r="N462" s="437"/>
    </row>
    <row r="463" spans="2:14" ht="12.75">
      <c r="B463" s="437"/>
      <c r="C463" s="437"/>
      <c r="D463" s="437"/>
      <c r="E463" s="437"/>
      <c r="F463" s="437"/>
      <c r="G463" s="437"/>
      <c r="H463" s="437"/>
      <c r="I463" s="437"/>
      <c r="J463" s="437"/>
      <c r="K463" s="437"/>
      <c r="L463" s="437"/>
      <c r="M463" s="437"/>
      <c r="N463" s="437"/>
    </row>
    <row r="464" spans="2:14" ht="12.75">
      <c r="B464" s="437"/>
      <c r="C464" s="437"/>
      <c r="D464" s="437"/>
      <c r="E464" s="437"/>
      <c r="F464" s="437"/>
      <c r="G464" s="437"/>
      <c r="H464" s="437"/>
      <c r="I464" s="437"/>
      <c r="J464" s="437"/>
      <c r="K464" s="437"/>
      <c r="L464" s="437"/>
      <c r="M464" s="437"/>
      <c r="N464" s="437"/>
    </row>
    <row r="465" spans="2:14" ht="12.75">
      <c r="B465" s="437"/>
      <c r="C465" s="437"/>
      <c r="D465" s="437"/>
      <c r="E465" s="437"/>
      <c r="F465" s="437"/>
      <c r="G465" s="437"/>
      <c r="H465" s="437"/>
      <c r="I465" s="437"/>
      <c r="J465" s="437"/>
      <c r="K465" s="437"/>
      <c r="L465" s="437"/>
      <c r="M465" s="437"/>
      <c r="N465" s="437"/>
    </row>
    <row r="466" spans="2:14" ht="12.75">
      <c r="B466" s="437"/>
      <c r="C466" s="437"/>
      <c r="D466" s="437"/>
      <c r="E466" s="437"/>
      <c r="F466" s="437"/>
      <c r="G466" s="437"/>
      <c r="H466" s="437"/>
      <c r="I466" s="437"/>
      <c r="J466" s="437"/>
      <c r="K466" s="437"/>
      <c r="L466" s="437"/>
      <c r="M466" s="437"/>
      <c r="N466" s="437"/>
    </row>
    <row r="467" spans="2:14" ht="12.75">
      <c r="B467" s="437"/>
      <c r="C467" s="437"/>
      <c r="D467" s="437"/>
      <c r="E467" s="437"/>
      <c r="F467" s="437"/>
      <c r="G467" s="437"/>
      <c r="H467" s="437"/>
      <c r="I467" s="437"/>
      <c r="J467" s="437"/>
      <c r="K467" s="437"/>
      <c r="L467" s="437"/>
      <c r="M467" s="437"/>
      <c r="N467" s="437"/>
    </row>
    <row r="468" spans="2:14" ht="12.75">
      <c r="B468" s="437"/>
      <c r="C468" s="437"/>
      <c r="D468" s="437"/>
      <c r="E468" s="437"/>
      <c r="F468" s="437"/>
      <c r="G468" s="437"/>
      <c r="H468" s="437"/>
      <c r="I468" s="437"/>
      <c r="J468" s="437"/>
      <c r="K468" s="437"/>
      <c r="L468" s="437"/>
      <c r="M468" s="437"/>
      <c r="N468" s="437"/>
    </row>
    <row r="469" spans="2:14" ht="12.75">
      <c r="B469" s="437"/>
      <c r="C469" s="437"/>
      <c r="D469" s="437"/>
      <c r="E469" s="437"/>
      <c r="F469" s="437"/>
      <c r="G469" s="437"/>
      <c r="H469" s="437"/>
      <c r="I469" s="437"/>
      <c r="J469" s="437"/>
      <c r="K469" s="437"/>
      <c r="L469" s="437"/>
      <c r="M469" s="437"/>
      <c r="N469" s="437"/>
    </row>
    <row r="470" spans="2:14" ht="12.75">
      <c r="B470" s="437"/>
      <c r="C470" s="437"/>
      <c r="D470" s="437"/>
      <c r="E470" s="437"/>
      <c r="F470" s="437"/>
      <c r="G470" s="437"/>
      <c r="H470" s="437"/>
      <c r="I470" s="437"/>
      <c r="J470" s="437"/>
      <c r="K470" s="437"/>
      <c r="L470" s="437"/>
      <c r="M470" s="437"/>
      <c r="N470" s="437"/>
    </row>
    <row r="471" spans="2:14" ht="12.75">
      <c r="B471" s="437"/>
      <c r="C471" s="437"/>
      <c r="D471" s="437"/>
      <c r="E471" s="437"/>
      <c r="F471" s="437"/>
      <c r="G471" s="437"/>
      <c r="H471" s="437"/>
      <c r="I471" s="437"/>
      <c r="J471" s="437"/>
      <c r="K471" s="437"/>
      <c r="L471" s="437"/>
      <c r="M471" s="437"/>
      <c r="N471" s="437"/>
    </row>
    <row r="472" spans="2:14" ht="12.75">
      <c r="B472" s="437"/>
      <c r="C472" s="437"/>
      <c r="D472" s="437"/>
      <c r="E472" s="437"/>
      <c r="F472" s="437"/>
      <c r="G472" s="437"/>
      <c r="H472" s="437"/>
      <c r="I472" s="437"/>
      <c r="J472" s="437"/>
      <c r="K472" s="437"/>
      <c r="L472" s="437"/>
      <c r="M472" s="437"/>
      <c r="N472" s="437"/>
    </row>
    <row r="473" spans="2:14" ht="12.75">
      <c r="B473" s="437"/>
      <c r="C473" s="437"/>
      <c r="D473" s="437"/>
      <c r="E473" s="437"/>
      <c r="F473" s="437"/>
      <c r="G473" s="437"/>
      <c r="H473" s="437"/>
      <c r="I473" s="437"/>
      <c r="J473" s="437"/>
      <c r="K473" s="437"/>
      <c r="L473" s="437"/>
      <c r="M473" s="437"/>
      <c r="N473" s="437"/>
    </row>
    <row r="474" spans="2:14" ht="12.75">
      <c r="B474" s="437"/>
      <c r="C474" s="437"/>
      <c r="D474" s="437"/>
      <c r="E474" s="437"/>
      <c r="F474" s="437"/>
      <c r="G474" s="437"/>
      <c r="H474" s="437"/>
      <c r="I474" s="437"/>
      <c r="J474" s="437"/>
      <c r="K474" s="437"/>
      <c r="L474" s="437"/>
      <c r="M474" s="437"/>
      <c r="N474" s="437"/>
    </row>
    <row r="475" spans="2:14" ht="12.75">
      <c r="B475" s="437"/>
      <c r="C475" s="437"/>
      <c r="D475" s="437"/>
      <c r="E475" s="437"/>
      <c r="F475" s="437"/>
      <c r="G475" s="437"/>
      <c r="H475" s="437"/>
      <c r="I475" s="437"/>
      <c r="J475" s="437"/>
      <c r="K475" s="437"/>
      <c r="L475" s="437"/>
      <c r="M475" s="437"/>
      <c r="N475" s="437"/>
    </row>
    <row r="476" spans="2:14" ht="12.75">
      <c r="B476" s="437"/>
      <c r="C476" s="437"/>
      <c r="D476" s="437"/>
      <c r="E476" s="437"/>
      <c r="F476" s="437"/>
      <c r="G476" s="437"/>
      <c r="H476" s="437"/>
      <c r="I476" s="437"/>
      <c r="J476" s="437"/>
      <c r="K476" s="437"/>
      <c r="L476" s="437"/>
      <c r="M476" s="437"/>
      <c r="N476" s="437"/>
    </row>
    <row r="477" spans="2:14" ht="12.75">
      <c r="B477" s="437"/>
      <c r="C477" s="437"/>
      <c r="D477" s="437"/>
      <c r="E477" s="437"/>
      <c r="F477" s="437"/>
      <c r="G477" s="437"/>
      <c r="H477" s="437"/>
      <c r="I477" s="437"/>
      <c r="J477" s="437"/>
      <c r="K477" s="437"/>
      <c r="L477" s="437"/>
      <c r="M477" s="437"/>
      <c r="N477" s="437"/>
    </row>
    <row r="478" spans="2:14" ht="12.75">
      <c r="B478" s="437"/>
      <c r="C478" s="437"/>
      <c r="D478" s="437"/>
      <c r="E478" s="437"/>
      <c r="F478" s="437"/>
      <c r="G478" s="437"/>
      <c r="H478" s="437"/>
      <c r="I478" s="437"/>
      <c r="J478" s="437"/>
      <c r="K478" s="437"/>
      <c r="L478" s="437"/>
      <c r="M478" s="437"/>
      <c r="N478" s="437"/>
    </row>
    <row r="479" spans="2:14" ht="12.75">
      <c r="B479" s="437"/>
      <c r="C479" s="437"/>
      <c r="D479" s="437"/>
      <c r="E479" s="437"/>
      <c r="F479" s="437"/>
      <c r="G479" s="437"/>
      <c r="H479" s="437"/>
      <c r="I479" s="437"/>
      <c r="J479" s="437"/>
      <c r="K479" s="437"/>
      <c r="L479" s="437"/>
      <c r="M479" s="437"/>
      <c r="N479" s="437"/>
    </row>
    <row r="480" spans="2:14" ht="12.75">
      <c r="B480" s="437"/>
      <c r="C480" s="437"/>
      <c r="D480" s="437"/>
      <c r="E480" s="437"/>
      <c r="F480" s="437"/>
      <c r="G480" s="437"/>
      <c r="H480" s="437"/>
      <c r="I480" s="437"/>
      <c r="J480" s="437"/>
      <c r="K480" s="437"/>
      <c r="L480" s="437"/>
      <c r="M480" s="437"/>
      <c r="N480" s="437"/>
    </row>
    <row r="481" spans="2:14" ht="12.75">
      <c r="B481" s="437"/>
      <c r="C481" s="437"/>
      <c r="D481" s="437"/>
      <c r="E481" s="437"/>
      <c r="F481" s="437"/>
      <c r="G481" s="437"/>
      <c r="H481" s="437"/>
      <c r="I481" s="437"/>
      <c r="J481" s="437"/>
      <c r="K481" s="437"/>
      <c r="L481" s="437"/>
      <c r="M481" s="437"/>
      <c r="N481" s="437"/>
    </row>
    <row r="482" spans="2:14" ht="12.75">
      <c r="B482" s="437"/>
      <c r="C482" s="437"/>
      <c r="D482" s="437"/>
      <c r="E482" s="437"/>
      <c r="F482" s="437"/>
      <c r="G482" s="437"/>
      <c r="H482" s="437"/>
      <c r="I482" s="437"/>
      <c r="J482" s="437"/>
      <c r="K482" s="437"/>
      <c r="L482" s="437"/>
      <c r="M482" s="437"/>
      <c r="N482" s="437"/>
    </row>
    <row r="483" spans="2:14" ht="12.75">
      <c r="B483" s="437"/>
      <c r="C483" s="437"/>
      <c r="D483" s="437"/>
      <c r="E483" s="437"/>
      <c r="F483" s="437"/>
      <c r="G483" s="437"/>
      <c r="H483" s="437"/>
      <c r="I483" s="437"/>
      <c r="J483" s="437"/>
      <c r="K483" s="437"/>
      <c r="L483" s="437"/>
      <c r="M483" s="437"/>
      <c r="N483" s="437"/>
    </row>
    <row r="484" spans="2:14" ht="12.75">
      <c r="B484" s="437"/>
      <c r="C484" s="437"/>
      <c r="D484" s="437"/>
      <c r="E484" s="437"/>
      <c r="F484" s="437"/>
      <c r="G484" s="437"/>
      <c r="H484" s="437"/>
      <c r="I484" s="437"/>
      <c r="J484" s="437"/>
      <c r="K484" s="437"/>
      <c r="L484" s="437"/>
      <c r="M484" s="437"/>
      <c r="N484" s="437"/>
    </row>
    <row r="485" spans="2:14" ht="12.75">
      <c r="B485" s="437"/>
      <c r="C485" s="437"/>
      <c r="D485" s="437"/>
      <c r="E485" s="437"/>
      <c r="F485" s="437"/>
      <c r="G485" s="437"/>
      <c r="H485" s="437"/>
      <c r="I485" s="437"/>
      <c r="J485" s="437"/>
      <c r="K485" s="437"/>
      <c r="L485" s="437"/>
      <c r="M485" s="437"/>
      <c r="N485" s="437"/>
    </row>
    <row r="486" spans="2:14" ht="12.75">
      <c r="B486" s="437"/>
      <c r="C486" s="437"/>
      <c r="D486" s="437"/>
      <c r="E486" s="437"/>
      <c r="F486" s="437"/>
      <c r="G486" s="437"/>
      <c r="H486" s="437"/>
      <c r="I486" s="437"/>
      <c r="J486" s="437"/>
      <c r="K486" s="437"/>
      <c r="L486" s="437"/>
      <c r="M486" s="437"/>
      <c r="N486" s="437"/>
    </row>
    <row r="487" spans="2:14" ht="12.75">
      <c r="B487" s="437"/>
      <c r="C487" s="437"/>
      <c r="D487" s="437"/>
      <c r="E487" s="437"/>
      <c r="F487" s="437"/>
      <c r="G487" s="437"/>
      <c r="H487" s="437"/>
      <c r="I487" s="437"/>
      <c r="J487" s="437"/>
      <c r="K487" s="437"/>
      <c r="L487" s="437"/>
      <c r="M487" s="437"/>
      <c r="N487" s="437"/>
    </row>
    <row r="488" spans="2:14" ht="12.75">
      <c r="B488" s="437"/>
      <c r="C488" s="437"/>
      <c r="D488" s="437"/>
      <c r="E488" s="437"/>
      <c r="F488" s="437"/>
      <c r="G488" s="437"/>
      <c r="H488" s="437"/>
      <c r="I488" s="437"/>
      <c r="J488" s="437"/>
      <c r="K488" s="437"/>
      <c r="L488" s="437"/>
      <c r="M488" s="437"/>
      <c r="N488" s="437"/>
    </row>
    <row r="489" spans="2:14" ht="12.75">
      <c r="B489" s="437"/>
      <c r="C489" s="437"/>
      <c r="D489" s="437"/>
      <c r="E489" s="437"/>
      <c r="F489" s="437"/>
      <c r="G489" s="437"/>
      <c r="H489" s="437"/>
      <c r="I489" s="437"/>
      <c r="J489" s="437"/>
      <c r="K489" s="437"/>
      <c r="L489" s="437"/>
      <c r="M489" s="437"/>
      <c r="N489" s="437"/>
    </row>
    <row r="490" spans="2:14" ht="12.75">
      <c r="B490" s="437"/>
      <c r="C490" s="437"/>
      <c r="D490" s="437"/>
      <c r="E490" s="437"/>
      <c r="F490" s="437"/>
      <c r="G490" s="437"/>
      <c r="H490" s="437"/>
      <c r="I490" s="437"/>
      <c r="J490" s="437"/>
      <c r="K490" s="437"/>
      <c r="L490" s="437"/>
      <c r="M490" s="437"/>
      <c r="N490" s="437"/>
    </row>
    <row r="491" spans="2:14" ht="12.75">
      <c r="B491" s="437"/>
      <c r="C491" s="437"/>
      <c r="D491" s="437"/>
      <c r="E491" s="437"/>
      <c r="F491" s="437"/>
      <c r="G491" s="437"/>
      <c r="H491" s="437"/>
      <c r="I491" s="437"/>
      <c r="J491" s="437"/>
      <c r="K491" s="437"/>
      <c r="L491" s="437"/>
      <c r="M491" s="437"/>
      <c r="N491" s="437"/>
    </row>
    <row r="492" spans="2:14" ht="12.75">
      <c r="B492" s="437"/>
      <c r="C492" s="437"/>
      <c r="D492" s="437"/>
      <c r="E492" s="437"/>
      <c r="F492" s="437"/>
      <c r="G492" s="437"/>
      <c r="H492" s="437"/>
      <c r="I492" s="437"/>
      <c r="J492" s="437"/>
      <c r="K492" s="437"/>
      <c r="L492" s="437"/>
      <c r="M492" s="437"/>
      <c r="N492" s="437"/>
    </row>
    <row r="493" spans="2:14" ht="12.75">
      <c r="B493" s="437"/>
      <c r="C493" s="437"/>
      <c r="D493" s="437"/>
      <c r="E493" s="437"/>
      <c r="F493" s="437"/>
      <c r="G493" s="437"/>
      <c r="H493" s="437"/>
      <c r="I493" s="437"/>
      <c r="J493" s="437"/>
      <c r="K493" s="437"/>
      <c r="L493" s="437"/>
      <c r="M493" s="437"/>
      <c r="N493" s="437"/>
    </row>
    <row r="494" spans="2:14" ht="12.75">
      <c r="B494" s="437"/>
      <c r="C494" s="437"/>
      <c r="D494" s="437"/>
      <c r="E494" s="437"/>
      <c r="F494" s="437"/>
      <c r="G494" s="437"/>
      <c r="H494" s="437"/>
      <c r="I494" s="437"/>
      <c r="J494" s="437"/>
      <c r="K494" s="437"/>
      <c r="L494" s="437"/>
      <c r="M494" s="437"/>
      <c r="N494" s="437"/>
    </row>
    <row r="495" spans="2:14" ht="12.75">
      <c r="B495" s="437"/>
      <c r="C495" s="437"/>
      <c r="D495" s="437"/>
      <c r="E495" s="437"/>
      <c r="F495" s="437"/>
      <c r="G495" s="437"/>
      <c r="H495" s="437"/>
      <c r="I495" s="437"/>
      <c r="J495" s="437"/>
      <c r="K495" s="437"/>
      <c r="L495" s="437"/>
      <c r="M495" s="437"/>
      <c r="N495" s="437"/>
    </row>
    <row r="496" spans="2:14" ht="12.75">
      <c r="B496" s="437"/>
      <c r="C496" s="437"/>
      <c r="D496" s="437"/>
      <c r="E496" s="437"/>
      <c r="F496" s="437"/>
      <c r="G496" s="437"/>
      <c r="H496" s="437"/>
      <c r="I496" s="437"/>
      <c r="J496" s="437"/>
      <c r="K496" s="437"/>
      <c r="L496" s="437"/>
      <c r="M496" s="437"/>
      <c r="N496" s="437"/>
    </row>
    <row r="497" spans="2:14" ht="12.75">
      <c r="B497" s="437"/>
      <c r="C497" s="437"/>
      <c r="D497" s="437"/>
      <c r="E497" s="437"/>
      <c r="F497" s="437"/>
      <c r="G497" s="437"/>
      <c r="H497" s="437"/>
      <c r="I497" s="437"/>
      <c r="J497" s="437"/>
      <c r="K497" s="437"/>
      <c r="L497" s="437"/>
      <c r="M497" s="437"/>
      <c r="N497" s="437"/>
    </row>
    <row r="498" spans="2:14" ht="12.75">
      <c r="B498" s="437"/>
      <c r="C498" s="437"/>
      <c r="D498" s="437"/>
      <c r="E498" s="437"/>
      <c r="F498" s="437"/>
      <c r="G498" s="437"/>
      <c r="H498" s="437"/>
      <c r="I498" s="437"/>
      <c r="J498" s="437"/>
      <c r="K498" s="437"/>
      <c r="L498" s="437"/>
      <c r="M498" s="437"/>
      <c r="N498" s="437"/>
    </row>
    <row r="499" spans="2:14" ht="12.75">
      <c r="B499" s="437"/>
      <c r="C499" s="437"/>
      <c r="D499" s="437"/>
      <c r="E499" s="437"/>
      <c r="F499" s="437"/>
      <c r="G499" s="437"/>
      <c r="H499" s="437"/>
      <c r="I499" s="437"/>
      <c r="J499" s="437"/>
      <c r="K499" s="437"/>
      <c r="L499" s="437"/>
      <c r="M499" s="437"/>
      <c r="N499" s="437"/>
    </row>
    <row r="500" spans="2:14" ht="12.75">
      <c r="B500" s="437"/>
      <c r="C500" s="437"/>
      <c r="D500" s="437"/>
      <c r="E500" s="437"/>
      <c r="F500" s="437"/>
      <c r="G500" s="437"/>
      <c r="H500" s="437"/>
      <c r="I500" s="437"/>
      <c r="J500" s="437"/>
      <c r="K500" s="437"/>
      <c r="L500" s="437"/>
      <c r="M500" s="437"/>
      <c r="N500" s="437"/>
    </row>
    <row r="501" spans="2:14" ht="12.75">
      <c r="B501" s="437"/>
      <c r="C501" s="437"/>
      <c r="D501" s="437"/>
      <c r="E501" s="437"/>
      <c r="F501" s="437"/>
      <c r="G501" s="437"/>
      <c r="H501" s="437"/>
      <c r="I501" s="437"/>
      <c r="J501" s="437"/>
      <c r="K501" s="437"/>
      <c r="L501" s="437"/>
      <c r="M501" s="437"/>
      <c r="N501" s="437"/>
    </row>
    <row r="502" spans="2:14" ht="12.75">
      <c r="B502" s="437"/>
      <c r="C502" s="437"/>
      <c r="D502" s="437"/>
      <c r="E502" s="437"/>
      <c r="F502" s="437"/>
      <c r="G502" s="437"/>
      <c r="H502" s="437"/>
      <c r="I502" s="437"/>
      <c r="J502" s="437"/>
      <c r="K502" s="437"/>
      <c r="L502" s="437"/>
      <c r="M502" s="437"/>
      <c r="N502" s="437"/>
    </row>
    <row r="503" spans="2:14" ht="12.75">
      <c r="B503" s="437"/>
      <c r="C503" s="437"/>
      <c r="D503" s="437"/>
      <c r="E503" s="437"/>
      <c r="F503" s="437"/>
      <c r="G503" s="437"/>
      <c r="H503" s="437"/>
      <c r="I503" s="437"/>
      <c r="J503" s="437"/>
      <c r="K503" s="437"/>
      <c r="L503" s="437"/>
      <c r="M503" s="437"/>
      <c r="N503" s="437"/>
    </row>
    <row r="504" spans="2:14" ht="12.75">
      <c r="B504" s="437"/>
      <c r="C504" s="437"/>
      <c r="D504" s="437"/>
      <c r="E504" s="437"/>
      <c r="F504" s="437"/>
      <c r="G504" s="437"/>
      <c r="H504" s="437"/>
      <c r="I504" s="437"/>
      <c r="J504" s="437"/>
      <c r="K504" s="437"/>
      <c r="L504" s="437"/>
      <c r="M504" s="437"/>
      <c r="N504" s="437"/>
    </row>
    <row r="505" spans="2:14" ht="12.75">
      <c r="B505" s="437"/>
      <c r="C505" s="437"/>
      <c r="D505" s="437"/>
      <c r="E505" s="437"/>
      <c r="F505" s="437"/>
      <c r="G505" s="437"/>
      <c r="H505" s="437"/>
      <c r="I505" s="437"/>
      <c r="J505" s="437"/>
      <c r="K505" s="437"/>
      <c r="L505" s="437"/>
      <c r="M505" s="437"/>
      <c r="N505" s="437"/>
    </row>
    <row r="506" spans="2:14" ht="12.75">
      <c r="B506" s="437"/>
      <c r="C506" s="437"/>
      <c r="D506" s="437"/>
      <c r="E506" s="437"/>
      <c r="F506" s="437"/>
      <c r="G506" s="437"/>
      <c r="H506" s="437"/>
      <c r="I506" s="437"/>
      <c r="J506" s="437"/>
      <c r="K506" s="437"/>
      <c r="L506" s="437"/>
      <c r="M506" s="437"/>
      <c r="N506" s="437"/>
    </row>
    <row r="507" spans="2:14" ht="12.75">
      <c r="B507" s="437"/>
      <c r="C507" s="437"/>
      <c r="D507" s="437"/>
      <c r="E507" s="437"/>
      <c r="F507" s="437"/>
      <c r="G507" s="437"/>
      <c r="H507" s="437"/>
      <c r="I507" s="437"/>
      <c r="J507" s="437"/>
      <c r="K507" s="437"/>
      <c r="L507" s="437"/>
      <c r="M507" s="437"/>
      <c r="N507" s="437"/>
    </row>
    <row r="508" spans="2:14" ht="12.75">
      <c r="B508" s="437"/>
      <c r="C508" s="437"/>
      <c r="D508" s="437"/>
      <c r="E508" s="437"/>
      <c r="F508" s="437"/>
      <c r="G508" s="437"/>
      <c r="H508" s="437"/>
      <c r="I508" s="437"/>
      <c r="J508" s="437"/>
      <c r="K508" s="437"/>
      <c r="L508" s="437"/>
      <c r="M508" s="437"/>
      <c r="N508" s="437"/>
    </row>
    <row r="509" spans="2:14" ht="12.75">
      <c r="B509" s="437"/>
      <c r="C509" s="437"/>
      <c r="D509" s="437"/>
      <c r="E509" s="437"/>
      <c r="F509" s="437"/>
      <c r="G509" s="437"/>
      <c r="H509" s="437"/>
      <c r="I509" s="437"/>
      <c r="J509" s="437"/>
      <c r="K509" s="437"/>
      <c r="L509" s="437"/>
      <c r="M509" s="437"/>
      <c r="N509" s="437"/>
    </row>
    <row r="510" spans="2:14" ht="12.75">
      <c r="B510" s="437"/>
      <c r="C510" s="437"/>
      <c r="D510" s="437"/>
      <c r="E510" s="437"/>
      <c r="F510" s="437"/>
      <c r="G510" s="437"/>
      <c r="H510" s="437"/>
      <c r="I510" s="437"/>
      <c r="J510" s="437"/>
      <c r="K510" s="437"/>
      <c r="L510" s="437"/>
      <c r="M510" s="437"/>
      <c r="N510" s="437"/>
    </row>
    <row r="511" spans="2:14" ht="12.75">
      <c r="B511" s="437"/>
      <c r="C511" s="437"/>
      <c r="D511" s="437"/>
      <c r="E511" s="437"/>
      <c r="F511" s="437"/>
      <c r="G511" s="437"/>
      <c r="H511" s="437"/>
      <c r="I511" s="437"/>
      <c r="J511" s="437"/>
      <c r="K511" s="437"/>
      <c r="L511" s="437"/>
      <c r="M511" s="437"/>
      <c r="N511" s="437"/>
    </row>
    <row r="512" spans="2:14" ht="12.75">
      <c r="B512" s="437"/>
      <c r="C512" s="437"/>
      <c r="D512" s="437"/>
      <c r="E512" s="437"/>
      <c r="F512" s="437"/>
      <c r="G512" s="437"/>
      <c r="H512" s="437"/>
      <c r="I512" s="437"/>
      <c r="J512" s="437"/>
      <c r="K512" s="437"/>
      <c r="L512" s="437"/>
      <c r="M512" s="437"/>
      <c r="N512" s="437"/>
    </row>
    <row r="513" spans="2:14" ht="12.75">
      <c r="B513" s="437"/>
      <c r="C513" s="437"/>
      <c r="D513" s="437"/>
      <c r="E513" s="437"/>
      <c r="F513" s="437"/>
      <c r="G513" s="437"/>
      <c r="H513" s="437"/>
      <c r="I513" s="437"/>
      <c r="J513" s="437"/>
      <c r="K513" s="437"/>
      <c r="L513" s="437"/>
      <c r="M513" s="437"/>
      <c r="N513" s="437"/>
    </row>
    <row r="514" spans="2:14" ht="12.75">
      <c r="B514" s="437"/>
      <c r="C514" s="437"/>
      <c r="D514" s="437"/>
      <c r="E514" s="437"/>
      <c r="F514" s="437"/>
      <c r="G514" s="437"/>
      <c r="H514" s="437"/>
      <c r="I514" s="437"/>
      <c r="J514" s="437"/>
      <c r="K514" s="437"/>
      <c r="L514" s="437"/>
      <c r="M514" s="437"/>
      <c r="N514" s="437"/>
    </row>
    <row r="515" spans="2:14" ht="12.75">
      <c r="B515" s="437"/>
      <c r="C515" s="437"/>
      <c r="D515" s="437"/>
      <c r="E515" s="437"/>
      <c r="F515" s="437"/>
      <c r="G515" s="437"/>
      <c r="H515" s="437"/>
      <c r="I515" s="437"/>
      <c r="J515" s="437"/>
      <c r="K515" s="437"/>
      <c r="L515" s="437"/>
      <c r="M515" s="437"/>
      <c r="N515" s="437"/>
    </row>
    <row r="516" spans="2:14" ht="12.75">
      <c r="B516" s="437"/>
      <c r="C516" s="437"/>
      <c r="D516" s="437"/>
      <c r="E516" s="437"/>
      <c r="F516" s="437"/>
      <c r="G516" s="437"/>
      <c r="H516" s="437"/>
      <c r="I516" s="437"/>
      <c r="J516" s="437"/>
      <c r="K516" s="437"/>
      <c r="L516" s="437"/>
      <c r="M516" s="437"/>
      <c r="N516" s="437"/>
    </row>
    <row r="517" spans="2:14" ht="12.75">
      <c r="B517" s="437"/>
      <c r="C517" s="437"/>
      <c r="D517" s="437"/>
      <c r="E517" s="437"/>
      <c r="F517" s="437"/>
      <c r="G517" s="437"/>
      <c r="H517" s="437"/>
      <c r="I517" s="437"/>
      <c r="J517" s="437"/>
      <c r="K517" s="437"/>
      <c r="L517" s="437"/>
      <c r="M517" s="437"/>
      <c r="N517" s="437"/>
    </row>
    <row r="518" spans="2:14" ht="12.75">
      <c r="B518" s="437"/>
      <c r="C518" s="437"/>
      <c r="D518" s="437"/>
      <c r="E518" s="437"/>
      <c r="F518" s="437"/>
      <c r="G518" s="437"/>
      <c r="H518" s="437"/>
      <c r="I518" s="437"/>
      <c r="J518" s="437"/>
      <c r="K518" s="437"/>
      <c r="L518" s="437"/>
      <c r="M518" s="437"/>
      <c r="N518" s="437"/>
    </row>
    <row r="519" spans="2:14" ht="12.75">
      <c r="B519" s="437"/>
      <c r="C519" s="437"/>
      <c r="D519" s="437"/>
      <c r="E519" s="437"/>
      <c r="F519" s="437"/>
      <c r="G519" s="437"/>
      <c r="H519" s="437"/>
      <c r="I519" s="437"/>
      <c r="J519" s="437"/>
      <c r="K519" s="437"/>
      <c r="L519" s="437"/>
      <c r="M519" s="437"/>
      <c r="N519" s="437"/>
    </row>
    <row r="520" spans="2:14" ht="12.75">
      <c r="B520" s="437"/>
      <c r="C520" s="437"/>
      <c r="D520" s="437"/>
      <c r="E520" s="437"/>
      <c r="F520" s="437"/>
      <c r="G520" s="437"/>
      <c r="H520" s="437"/>
      <c r="I520" s="437"/>
      <c r="J520" s="437"/>
      <c r="K520" s="437"/>
      <c r="L520" s="437"/>
      <c r="M520" s="437"/>
      <c r="N520" s="437"/>
    </row>
    <row r="521" spans="2:14" ht="12.75">
      <c r="B521" s="437"/>
      <c r="C521" s="437"/>
      <c r="D521" s="437"/>
      <c r="E521" s="437"/>
      <c r="F521" s="437"/>
      <c r="G521" s="437"/>
      <c r="H521" s="437"/>
      <c r="I521" s="437"/>
      <c r="J521" s="437"/>
      <c r="K521" s="437"/>
      <c r="L521" s="437"/>
      <c r="M521" s="437"/>
      <c r="N521" s="437"/>
    </row>
    <row r="522" spans="2:14" ht="12.75">
      <c r="B522" s="437"/>
      <c r="C522" s="437"/>
      <c r="D522" s="437"/>
      <c r="E522" s="437"/>
      <c r="F522" s="437"/>
      <c r="G522" s="437"/>
      <c r="H522" s="437"/>
      <c r="I522" s="437"/>
      <c r="J522" s="437"/>
      <c r="K522" s="437"/>
      <c r="L522" s="437"/>
      <c r="M522" s="437"/>
      <c r="N522" s="437"/>
    </row>
    <row r="523" spans="2:14" ht="12.75">
      <c r="B523" s="437"/>
      <c r="C523" s="437"/>
      <c r="D523" s="437"/>
      <c r="E523" s="437"/>
      <c r="F523" s="437"/>
      <c r="G523" s="437"/>
      <c r="H523" s="437"/>
      <c r="I523" s="437"/>
      <c r="J523" s="437"/>
      <c r="K523" s="437"/>
      <c r="L523" s="437"/>
      <c r="M523" s="437"/>
      <c r="N523" s="437"/>
    </row>
    <row r="524" spans="2:14" ht="12.75">
      <c r="B524" s="437"/>
      <c r="C524" s="437"/>
      <c r="D524" s="437"/>
      <c r="E524" s="437"/>
      <c r="F524" s="437"/>
      <c r="G524" s="437"/>
      <c r="H524" s="437"/>
      <c r="I524" s="437"/>
      <c r="J524" s="437"/>
      <c r="K524" s="437"/>
      <c r="L524" s="437"/>
      <c r="M524" s="437"/>
      <c r="N524" s="437"/>
    </row>
    <row r="525" spans="2:14" ht="12.75">
      <c r="B525" s="437"/>
      <c r="C525" s="437"/>
      <c r="D525" s="437"/>
      <c r="E525" s="437"/>
      <c r="F525" s="437"/>
      <c r="G525" s="437"/>
      <c r="H525" s="437"/>
      <c r="I525" s="437"/>
      <c r="J525" s="437"/>
      <c r="K525" s="437"/>
      <c r="L525" s="437"/>
      <c r="M525" s="437"/>
      <c r="N525" s="437"/>
    </row>
    <row r="526" spans="2:14" ht="12.75">
      <c r="B526" s="437"/>
      <c r="C526" s="437"/>
      <c r="D526" s="437"/>
      <c r="E526" s="437"/>
      <c r="F526" s="437"/>
      <c r="G526" s="437"/>
      <c r="H526" s="437"/>
      <c r="I526" s="437"/>
      <c r="J526" s="437"/>
      <c r="K526" s="437"/>
      <c r="L526" s="437"/>
      <c r="M526" s="437"/>
      <c r="N526" s="437"/>
    </row>
    <row r="527" spans="2:14" ht="12.75">
      <c r="B527" s="437"/>
      <c r="C527" s="437"/>
      <c r="D527" s="437"/>
      <c r="E527" s="437"/>
      <c r="F527" s="437"/>
      <c r="G527" s="437"/>
      <c r="H527" s="437"/>
      <c r="I527" s="437"/>
      <c r="J527" s="437"/>
      <c r="K527" s="437"/>
      <c r="L527" s="437"/>
      <c r="M527" s="437"/>
      <c r="N527" s="437"/>
    </row>
    <row r="528" spans="2:14" ht="12.75">
      <c r="B528" s="437"/>
      <c r="C528" s="437"/>
      <c r="D528" s="437"/>
      <c r="E528" s="437"/>
      <c r="F528" s="437"/>
      <c r="G528" s="437"/>
      <c r="H528" s="437"/>
      <c r="I528" s="437"/>
      <c r="J528" s="437"/>
      <c r="K528" s="437"/>
      <c r="L528" s="437"/>
      <c r="M528" s="437"/>
      <c r="N528" s="437"/>
    </row>
    <row r="529" spans="2:14" ht="12.75">
      <c r="B529" s="437"/>
      <c r="C529" s="437"/>
      <c r="D529" s="437"/>
      <c r="E529" s="437"/>
      <c r="F529" s="437"/>
      <c r="G529" s="437"/>
      <c r="H529" s="437"/>
      <c r="I529" s="437"/>
      <c r="J529" s="437"/>
      <c r="K529" s="437"/>
      <c r="L529" s="437"/>
      <c r="M529" s="437"/>
      <c r="N529" s="437"/>
    </row>
    <row r="530" spans="2:14" ht="12.75">
      <c r="B530" s="437"/>
      <c r="C530" s="437"/>
      <c r="D530" s="437"/>
      <c r="E530" s="437"/>
      <c r="F530" s="437"/>
      <c r="G530" s="437"/>
      <c r="H530" s="437"/>
      <c r="I530" s="437"/>
      <c r="J530" s="437"/>
      <c r="K530" s="437"/>
      <c r="L530" s="437"/>
      <c r="M530" s="437"/>
      <c r="N530" s="437"/>
    </row>
    <row r="531" spans="2:14" ht="12.75">
      <c r="B531" s="437"/>
      <c r="C531" s="437"/>
      <c r="D531" s="437"/>
      <c r="E531" s="437"/>
      <c r="F531" s="437"/>
      <c r="G531" s="437"/>
      <c r="H531" s="437"/>
      <c r="I531" s="437"/>
      <c r="J531" s="437"/>
      <c r="K531" s="437"/>
      <c r="L531" s="437"/>
      <c r="M531" s="437"/>
      <c r="N531" s="437"/>
    </row>
    <row r="532" spans="2:14" ht="12.75">
      <c r="B532" s="437"/>
      <c r="C532" s="437"/>
      <c r="D532" s="437"/>
      <c r="E532" s="437"/>
      <c r="F532" s="437"/>
      <c r="G532" s="437"/>
      <c r="H532" s="437"/>
      <c r="I532" s="437"/>
      <c r="J532" s="437"/>
      <c r="K532" s="437"/>
      <c r="L532" s="437"/>
      <c r="M532" s="437"/>
      <c r="N532" s="437"/>
    </row>
    <row r="533" spans="2:14" ht="12.75">
      <c r="B533" s="437"/>
      <c r="C533" s="437"/>
      <c r="D533" s="437"/>
      <c r="E533" s="437"/>
      <c r="F533" s="437"/>
      <c r="G533" s="437"/>
      <c r="H533" s="437"/>
      <c r="I533" s="437"/>
      <c r="J533" s="437"/>
      <c r="K533" s="437"/>
      <c r="L533" s="437"/>
      <c r="M533" s="437"/>
      <c r="N533" s="437"/>
    </row>
    <row r="534" spans="2:14" ht="12.75">
      <c r="B534" s="437"/>
      <c r="C534" s="437"/>
      <c r="D534" s="437"/>
      <c r="E534" s="437"/>
      <c r="F534" s="437"/>
      <c r="G534" s="437"/>
      <c r="H534" s="437"/>
      <c r="I534" s="437"/>
      <c r="J534" s="437"/>
      <c r="K534" s="437"/>
      <c r="L534" s="437"/>
      <c r="M534" s="437"/>
      <c r="N534" s="437"/>
    </row>
    <row r="535" spans="2:14" ht="12.75">
      <c r="B535" s="437"/>
      <c r="C535" s="437"/>
      <c r="D535" s="437"/>
      <c r="E535" s="437"/>
      <c r="F535" s="437"/>
      <c r="G535" s="437"/>
      <c r="H535" s="437"/>
      <c r="I535" s="437"/>
      <c r="J535" s="437"/>
      <c r="K535" s="437"/>
      <c r="L535" s="437"/>
      <c r="M535" s="437"/>
      <c r="N535" s="437"/>
    </row>
    <row r="536" spans="2:14" ht="12.75">
      <c r="B536" s="437"/>
      <c r="C536" s="437"/>
      <c r="D536" s="437"/>
      <c r="E536" s="437"/>
      <c r="F536" s="437"/>
      <c r="G536" s="437"/>
      <c r="H536" s="437"/>
      <c r="I536" s="437"/>
      <c r="J536" s="437"/>
      <c r="K536" s="437"/>
      <c r="L536" s="437"/>
      <c r="M536" s="437"/>
      <c r="N536" s="437"/>
    </row>
    <row r="537" spans="2:14" ht="12.75">
      <c r="B537" s="437"/>
      <c r="C537" s="437"/>
      <c r="D537" s="437"/>
      <c r="E537" s="437"/>
      <c r="F537" s="437"/>
      <c r="G537" s="437"/>
      <c r="H537" s="437"/>
      <c r="I537" s="437"/>
      <c r="J537" s="437"/>
      <c r="K537" s="437"/>
      <c r="L537" s="437"/>
      <c r="M537" s="437"/>
      <c r="N537" s="437"/>
    </row>
    <row r="538" spans="2:14" ht="12.75">
      <c r="B538" s="437"/>
      <c r="C538" s="437"/>
      <c r="D538" s="437"/>
      <c r="E538" s="437"/>
      <c r="F538" s="437"/>
      <c r="G538" s="437"/>
      <c r="H538" s="437"/>
      <c r="I538" s="437"/>
      <c r="J538" s="437"/>
      <c r="K538" s="437"/>
      <c r="L538" s="437"/>
      <c r="M538" s="437"/>
      <c r="N538" s="437"/>
    </row>
    <row r="539" spans="2:14" ht="12.75">
      <c r="B539" s="437"/>
      <c r="C539" s="437"/>
      <c r="D539" s="437"/>
      <c r="E539" s="437"/>
      <c r="F539" s="437"/>
      <c r="G539" s="437"/>
      <c r="H539" s="437"/>
      <c r="I539" s="437"/>
      <c r="J539" s="437"/>
      <c r="K539" s="437"/>
      <c r="L539" s="437"/>
      <c r="M539" s="437"/>
      <c r="N539" s="437"/>
    </row>
    <row r="540" spans="2:14" ht="12.75">
      <c r="B540" s="437"/>
      <c r="C540" s="437"/>
      <c r="D540" s="437"/>
      <c r="E540" s="437"/>
      <c r="F540" s="437"/>
      <c r="G540" s="437"/>
      <c r="H540" s="437"/>
      <c r="I540" s="437"/>
      <c r="J540" s="437"/>
      <c r="K540" s="437"/>
      <c r="L540" s="437"/>
      <c r="M540" s="437"/>
      <c r="N540" s="437"/>
    </row>
    <row r="541" spans="2:14" ht="12.75">
      <c r="B541" s="437"/>
      <c r="C541" s="437"/>
      <c r="D541" s="437"/>
      <c r="E541" s="437"/>
      <c r="F541" s="437"/>
      <c r="G541" s="437"/>
      <c r="H541" s="437"/>
      <c r="I541" s="437"/>
      <c r="J541" s="437"/>
      <c r="K541" s="437"/>
      <c r="L541" s="437"/>
      <c r="M541" s="437"/>
      <c r="N541" s="437"/>
    </row>
    <row r="542" spans="2:14" ht="12.75">
      <c r="B542" s="437"/>
      <c r="C542" s="437"/>
      <c r="D542" s="437"/>
      <c r="E542" s="437"/>
      <c r="F542" s="437"/>
      <c r="G542" s="437"/>
      <c r="H542" s="437"/>
      <c r="I542" s="437"/>
      <c r="J542" s="437"/>
      <c r="K542" s="437"/>
      <c r="L542" s="437"/>
      <c r="M542" s="437"/>
      <c r="N542" s="437"/>
    </row>
    <row r="543" spans="2:14" ht="12.75">
      <c r="B543" s="437"/>
      <c r="C543" s="437"/>
      <c r="D543" s="437"/>
      <c r="E543" s="437"/>
      <c r="F543" s="437"/>
      <c r="G543" s="437"/>
      <c r="H543" s="437"/>
      <c r="I543" s="437"/>
      <c r="J543" s="437"/>
      <c r="K543" s="437"/>
      <c r="L543" s="437"/>
      <c r="M543" s="437"/>
      <c r="N543" s="437"/>
    </row>
    <row r="544" spans="2:14" ht="12.75">
      <c r="B544" s="437"/>
      <c r="C544" s="437"/>
      <c r="D544" s="437"/>
      <c r="E544" s="437"/>
      <c r="F544" s="437"/>
      <c r="G544" s="437"/>
      <c r="H544" s="437"/>
      <c r="I544" s="437"/>
      <c r="J544" s="437"/>
      <c r="K544" s="437"/>
      <c r="L544" s="437"/>
      <c r="M544" s="437"/>
      <c r="N544" s="437"/>
    </row>
    <row r="545" spans="2:14" ht="12.75">
      <c r="B545" s="437"/>
      <c r="C545" s="437"/>
      <c r="D545" s="437"/>
      <c r="E545" s="437"/>
      <c r="F545" s="437"/>
      <c r="G545" s="437"/>
      <c r="H545" s="437"/>
      <c r="I545" s="437"/>
      <c r="J545" s="437"/>
      <c r="K545" s="437"/>
      <c r="L545" s="437"/>
      <c r="M545" s="437"/>
      <c r="N545" s="437"/>
    </row>
    <row r="546" spans="2:14" ht="12.75">
      <c r="B546" s="437"/>
      <c r="C546" s="437"/>
      <c r="D546" s="437"/>
      <c r="E546" s="437"/>
      <c r="F546" s="437"/>
      <c r="G546" s="437"/>
      <c r="H546" s="437"/>
      <c r="I546" s="437"/>
      <c r="J546" s="437"/>
      <c r="K546" s="437"/>
      <c r="L546" s="437"/>
      <c r="M546" s="437"/>
      <c r="N546" s="437"/>
    </row>
    <row r="547" spans="2:14" ht="12.75">
      <c r="B547" s="437"/>
      <c r="C547" s="437"/>
      <c r="D547" s="437"/>
      <c r="E547" s="437"/>
      <c r="F547" s="437"/>
      <c r="G547" s="437"/>
      <c r="H547" s="437"/>
      <c r="I547" s="437"/>
      <c r="J547" s="437"/>
      <c r="K547" s="437"/>
      <c r="L547" s="437"/>
      <c r="M547" s="437"/>
      <c r="N547" s="437"/>
    </row>
    <row r="548" spans="2:14" ht="12.75">
      <c r="B548" s="437"/>
      <c r="C548" s="437"/>
      <c r="D548" s="437"/>
      <c r="E548" s="437"/>
      <c r="F548" s="437"/>
      <c r="G548" s="437"/>
      <c r="H548" s="437"/>
      <c r="I548" s="437"/>
      <c r="J548" s="437"/>
      <c r="K548" s="437"/>
      <c r="L548" s="437"/>
      <c r="M548" s="437"/>
      <c r="N548" s="437"/>
    </row>
    <row r="549" spans="2:14" ht="12.75">
      <c r="B549" s="437"/>
      <c r="C549" s="437"/>
      <c r="D549" s="437"/>
      <c r="E549" s="437"/>
      <c r="F549" s="437"/>
      <c r="G549" s="437"/>
      <c r="H549" s="437"/>
      <c r="I549" s="437"/>
      <c r="J549" s="437"/>
      <c r="K549" s="437"/>
      <c r="L549" s="437"/>
      <c r="M549" s="437"/>
      <c r="N549" s="437"/>
    </row>
    <row r="550" spans="2:14" ht="12.75">
      <c r="B550" s="437"/>
      <c r="C550" s="437"/>
      <c r="D550" s="437"/>
      <c r="E550" s="437"/>
      <c r="F550" s="437"/>
      <c r="G550" s="437"/>
      <c r="H550" s="437"/>
      <c r="I550" s="437"/>
      <c r="J550" s="437"/>
      <c r="K550" s="437"/>
      <c r="L550" s="437"/>
      <c r="M550" s="437"/>
      <c r="N550" s="437"/>
    </row>
    <row r="551" spans="2:14" ht="12.75">
      <c r="B551" s="437"/>
      <c r="C551" s="437"/>
      <c r="D551" s="437"/>
      <c r="E551" s="437"/>
      <c r="F551" s="437"/>
      <c r="G551" s="437"/>
      <c r="H551" s="437"/>
      <c r="I551" s="437"/>
      <c r="J551" s="437"/>
      <c r="K551" s="437"/>
      <c r="L551" s="437"/>
      <c r="M551" s="437"/>
      <c r="N551" s="437"/>
    </row>
    <row r="552" spans="2:14" ht="12.75">
      <c r="B552" s="437"/>
      <c r="C552" s="437"/>
      <c r="D552" s="437"/>
      <c r="E552" s="437"/>
      <c r="F552" s="437"/>
      <c r="G552" s="437"/>
      <c r="H552" s="437"/>
      <c r="I552" s="437"/>
      <c r="J552" s="437"/>
      <c r="K552" s="437"/>
      <c r="L552" s="437"/>
      <c r="M552" s="437"/>
      <c r="N552" s="437"/>
    </row>
    <row r="553" spans="2:14" ht="12.75">
      <c r="B553" s="437"/>
      <c r="C553" s="437"/>
      <c r="D553" s="437"/>
      <c r="E553" s="437"/>
      <c r="F553" s="437"/>
      <c r="G553" s="437"/>
      <c r="H553" s="437"/>
      <c r="I553" s="437"/>
      <c r="J553" s="437"/>
      <c r="K553" s="437"/>
      <c r="L553" s="437"/>
      <c r="M553" s="437"/>
      <c r="N553" s="437"/>
    </row>
    <row r="554" spans="2:14" ht="12.75">
      <c r="B554" s="437"/>
      <c r="C554" s="437"/>
      <c r="D554" s="437"/>
      <c r="E554" s="437"/>
      <c r="F554" s="437"/>
      <c r="G554" s="437"/>
      <c r="H554" s="437"/>
      <c r="I554" s="437"/>
      <c r="J554" s="437"/>
      <c r="K554" s="437"/>
      <c r="L554" s="437"/>
      <c r="M554" s="437"/>
      <c r="N554" s="437"/>
    </row>
    <row r="555" spans="2:14" ht="12.75">
      <c r="B555" s="437"/>
      <c r="C555" s="437"/>
      <c r="D555" s="437"/>
      <c r="E555" s="437"/>
      <c r="F555" s="437"/>
      <c r="G555" s="437"/>
      <c r="H555" s="437"/>
      <c r="I555" s="437"/>
      <c r="J555" s="437"/>
      <c r="K555" s="437"/>
      <c r="L555" s="437"/>
      <c r="M555" s="437"/>
      <c r="N555" s="437"/>
    </row>
    <row r="556" spans="2:14" ht="12.75">
      <c r="B556" s="437"/>
      <c r="C556" s="437"/>
      <c r="D556" s="437"/>
      <c r="E556" s="437"/>
      <c r="F556" s="437"/>
      <c r="G556" s="437"/>
      <c r="H556" s="437"/>
      <c r="I556" s="437"/>
      <c r="J556" s="437"/>
      <c r="K556" s="437"/>
      <c r="L556" s="437"/>
      <c r="M556" s="437"/>
      <c r="N556" s="437"/>
    </row>
    <row r="557" spans="2:14" ht="12.75">
      <c r="B557" s="437"/>
      <c r="C557" s="437"/>
      <c r="D557" s="437"/>
      <c r="E557" s="437"/>
      <c r="F557" s="437"/>
      <c r="G557" s="437"/>
      <c r="H557" s="437"/>
      <c r="I557" s="437"/>
      <c r="J557" s="437"/>
      <c r="K557" s="437"/>
      <c r="L557" s="437"/>
      <c r="M557" s="437"/>
      <c r="N557" s="437"/>
    </row>
    <row r="558" spans="2:14" ht="12.75">
      <c r="B558" s="437"/>
      <c r="C558" s="437"/>
      <c r="D558" s="437"/>
      <c r="E558" s="437"/>
      <c r="F558" s="437"/>
      <c r="G558" s="437"/>
      <c r="H558" s="437"/>
      <c r="I558" s="437"/>
      <c r="J558" s="437"/>
      <c r="K558" s="437"/>
      <c r="L558" s="437"/>
      <c r="M558" s="437"/>
      <c r="N558" s="437"/>
    </row>
    <row r="559" spans="2:14" ht="12.75">
      <c r="B559" s="437"/>
      <c r="C559" s="437"/>
      <c r="D559" s="437"/>
      <c r="E559" s="437"/>
      <c r="F559" s="437"/>
      <c r="G559" s="437"/>
      <c r="H559" s="437"/>
      <c r="I559" s="437"/>
      <c r="J559" s="437"/>
      <c r="K559" s="437"/>
      <c r="L559" s="437"/>
      <c r="M559" s="437"/>
      <c r="N559" s="437"/>
    </row>
    <row r="560" spans="2:14" ht="12.75">
      <c r="B560" s="437"/>
      <c r="C560" s="437"/>
      <c r="D560" s="437"/>
      <c r="E560" s="437"/>
      <c r="F560" s="437"/>
      <c r="G560" s="437"/>
      <c r="H560" s="437"/>
      <c r="I560" s="437"/>
      <c r="J560" s="437"/>
      <c r="K560" s="437"/>
      <c r="L560" s="437"/>
      <c r="M560" s="437"/>
      <c r="N560" s="437"/>
    </row>
    <row r="561" spans="2:14" ht="12.75">
      <c r="B561" s="437"/>
      <c r="C561" s="437"/>
      <c r="D561" s="437"/>
      <c r="E561" s="437"/>
      <c r="F561" s="437"/>
      <c r="G561" s="437"/>
      <c r="H561" s="437"/>
      <c r="I561" s="437"/>
      <c r="J561" s="437"/>
      <c r="K561" s="437"/>
      <c r="L561" s="437"/>
      <c r="M561" s="437"/>
      <c r="N561" s="437"/>
    </row>
    <row r="562" spans="2:14" ht="12.75">
      <c r="B562" s="437"/>
      <c r="C562" s="437"/>
      <c r="D562" s="437"/>
      <c r="E562" s="437"/>
      <c r="F562" s="437"/>
      <c r="G562" s="437"/>
      <c r="H562" s="437"/>
      <c r="I562" s="437"/>
      <c r="J562" s="437"/>
      <c r="K562" s="437"/>
      <c r="L562" s="437"/>
      <c r="M562" s="437"/>
      <c r="N562" s="437"/>
    </row>
    <row r="563" spans="2:14" ht="12.75">
      <c r="B563" s="437"/>
      <c r="C563" s="437"/>
      <c r="D563" s="437"/>
      <c r="E563" s="437"/>
      <c r="F563" s="437"/>
      <c r="G563" s="437"/>
      <c r="H563" s="437"/>
      <c r="I563" s="437"/>
      <c r="J563" s="437"/>
      <c r="K563" s="437"/>
      <c r="L563" s="437"/>
      <c r="M563" s="437"/>
      <c r="N563" s="437"/>
    </row>
    <row r="564" spans="2:14" ht="12.75">
      <c r="B564" s="437"/>
      <c r="C564" s="437"/>
      <c r="D564" s="437"/>
      <c r="E564" s="437"/>
      <c r="F564" s="437"/>
      <c r="G564" s="437"/>
      <c r="H564" s="437"/>
      <c r="I564" s="437"/>
      <c r="J564" s="437"/>
      <c r="K564" s="437"/>
      <c r="L564" s="437"/>
      <c r="M564" s="437"/>
      <c r="N564" s="437"/>
    </row>
    <row r="565" spans="2:14" ht="12.75">
      <c r="B565" s="437"/>
      <c r="C565" s="437"/>
      <c r="D565" s="437"/>
      <c r="E565" s="437"/>
      <c r="F565" s="437"/>
      <c r="G565" s="437"/>
      <c r="H565" s="437"/>
      <c r="I565" s="437"/>
      <c r="J565" s="437"/>
      <c r="K565" s="437"/>
      <c r="L565" s="437"/>
      <c r="M565" s="437"/>
      <c r="N565" s="437"/>
    </row>
    <row r="566" spans="2:14" ht="12.75">
      <c r="B566" s="437"/>
      <c r="C566" s="437"/>
      <c r="D566" s="437"/>
      <c r="E566" s="437"/>
      <c r="F566" s="437"/>
      <c r="G566" s="437"/>
      <c r="H566" s="437"/>
      <c r="I566" s="437"/>
      <c r="J566" s="437"/>
      <c r="K566" s="437"/>
      <c r="L566" s="437"/>
      <c r="M566" s="437"/>
      <c r="N566" s="437"/>
    </row>
    <row r="567" spans="2:14" ht="12.75">
      <c r="B567" s="437"/>
      <c r="C567" s="437"/>
      <c r="D567" s="437"/>
      <c r="E567" s="437"/>
      <c r="F567" s="437"/>
      <c r="G567" s="437"/>
      <c r="H567" s="437"/>
      <c r="I567" s="437"/>
      <c r="J567" s="437"/>
      <c r="K567" s="437"/>
      <c r="L567" s="437"/>
      <c r="M567" s="437"/>
      <c r="N567" s="437"/>
    </row>
    <row r="568" spans="2:14" ht="12.75">
      <c r="B568" s="437"/>
      <c r="C568" s="437"/>
      <c r="D568" s="437"/>
      <c r="E568" s="437"/>
      <c r="F568" s="437"/>
      <c r="G568" s="437"/>
      <c r="H568" s="437"/>
      <c r="I568" s="437"/>
      <c r="J568" s="437"/>
      <c r="K568" s="437"/>
      <c r="L568" s="437"/>
      <c r="M568" s="437"/>
      <c r="N568" s="437"/>
    </row>
    <row r="569" spans="2:14" ht="12.75">
      <c r="B569" s="437"/>
      <c r="C569" s="437"/>
      <c r="D569" s="437"/>
      <c r="E569" s="437"/>
      <c r="F569" s="437"/>
      <c r="G569" s="437"/>
      <c r="H569" s="437"/>
      <c r="I569" s="437"/>
      <c r="J569" s="437"/>
      <c r="K569" s="437"/>
      <c r="L569" s="437"/>
      <c r="M569" s="437"/>
      <c r="N569" s="437"/>
    </row>
    <row r="570" spans="2:14" ht="12.75">
      <c r="B570" s="437"/>
      <c r="C570" s="437"/>
      <c r="D570" s="437"/>
      <c r="E570" s="437"/>
      <c r="F570" s="437"/>
      <c r="G570" s="437"/>
      <c r="H570" s="437"/>
      <c r="I570" s="437"/>
      <c r="J570" s="437"/>
      <c r="K570" s="437"/>
      <c r="L570" s="437"/>
      <c r="M570" s="437"/>
      <c r="N570" s="437"/>
    </row>
    <row r="571" spans="2:14" ht="12.75">
      <c r="B571" s="437"/>
      <c r="C571" s="437"/>
      <c r="D571" s="437"/>
      <c r="E571" s="437"/>
      <c r="F571" s="437"/>
      <c r="G571" s="437"/>
      <c r="H571" s="437"/>
      <c r="I571" s="437"/>
      <c r="J571" s="437"/>
      <c r="K571" s="437"/>
      <c r="L571" s="437"/>
      <c r="M571" s="437"/>
      <c r="N571" s="437"/>
    </row>
    <row r="572" spans="2:14" ht="12.75">
      <c r="B572" s="437"/>
      <c r="C572" s="437"/>
      <c r="D572" s="437"/>
      <c r="E572" s="437"/>
      <c r="F572" s="437"/>
      <c r="G572" s="437"/>
      <c r="H572" s="437"/>
      <c r="I572" s="437"/>
      <c r="J572" s="437"/>
      <c r="K572" s="437"/>
      <c r="L572" s="437"/>
      <c r="M572" s="437"/>
      <c r="N572" s="437"/>
    </row>
    <row r="573" spans="2:14" ht="12.75">
      <c r="B573" s="437"/>
      <c r="C573" s="437"/>
      <c r="D573" s="437"/>
      <c r="E573" s="437"/>
      <c r="F573" s="437"/>
      <c r="G573" s="437"/>
      <c r="H573" s="437"/>
      <c r="I573" s="437"/>
      <c r="J573" s="437"/>
      <c r="K573" s="437"/>
      <c r="L573" s="437"/>
      <c r="M573" s="437"/>
      <c r="N573" s="437"/>
    </row>
    <row r="574" spans="2:14" ht="12.75">
      <c r="B574" s="437"/>
      <c r="C574" s="437"/>
      <c r="D574" s="437"/>
      <c r="E574" s="437"/>
      <c r="F574" s="437"/>
      <c r="G574" s="437"/>
      <c r="H574" s="437"/>
      <c r="I574" s="437"/>
      <c r="J574" s="437"/>
      <c r="K574" s="437"/>
      <c r="L574" s="437"/>
      <c r="M574" s="437"/>
      <c r="N574" s="437"/>
    </row>
    <row r="575" spans="2:14" ht="12.75">
      <c r="B575" s="437"/>
      <c r="C575" s="437"/>
      <c r="D575" s="437"/>
      <c r="E575" s="437"/>
      <c r="F575" s="437"/>
      <c r="G575" s="437"/>
      <c r="H575" s="437"/>
      <c r="I575" s="437"/>
      <c r="J575" s="437"/>
      <c r="K575" s="437"/>
      <c r="L575" s="437"/>
      <c r="M575" s="437"/>
      <c r="N575" s="437"/>
    </row>
    <row r="576" spans="2:14" ht="12.75">
      <c r="B576" s="437"/>
      <c r="C576" s="437"/>
      <c r="D576" s="437"/>
      <c r="E576" s="437"/>
      <c r="F576" s="437"/>
      <c r="G576" s="437"/>
      <c r="H576" s="437"/>
      <c r="I576" s="437"/>
      <c r="J576" s="437"/>
      <c r="K576" s="437"/>
      <c r="L576" s="437"/>
      <c r="M576" s="437"/>
      <c r="N576" s="437"/>
    </row>
    <row r="577" spans="2:14" ht="12.75">
      <c r="B577" s="437"/>
      <c r="C577" s="437"/>
      <c r="D577" s="437"/>
      <c r="E577" s="437"/>
      <c r="F577" s="437"/>
      <c r="G577" s="437"/>
      <c r="H577" s="437"/>
      <c r="I577" s="437"/>
      <c r="J577" s="437"/>
      <c r="K577" s="437"/>
      <c r="L577" s="437"/>
      <c r="M577" s="437"/>
      <c r="N577" s="437"/>
    </row>
    <row r="578" spans="2:14" ht="12.75">
      <c r="B578" s="437"/>
      <c r="C578" s="437"/>
      <c r="D578" s="437"/>
      <c r="E578" s="437"/>
      <c r="F578" s="437"/>
      <c r="G578" s="437"/>
      <c r="H578" s="437"/>
      <c r="I578" s="437"/>
      <c r="J578" s="437"/>
      <c r="K578" s="437"/>
      <c r="L578" s="437"/>
      <c r="M578" s="437"/>
      <c r="N578" s="437"/>
    </row>
    <row r="579" spans="2:14" ht="12.75">
      <c r="B579" s="437"/>
      <c r="C579" s="437"/>
      <c r="D579" s="437"/>
      <c r="E579" s="437"/>
      <c r="F579" s="437"/>
      <c r="G579" s="437"/>
      <c r="H579" s="437"/>
      <c r="I579" s="437"/>
      <c r="J579" s="437"/>
      <c r="K579" s="437"/>
      <c r="L579" s="437"/>
      <c r="M579" s="437"/>
      <c r="N579" s="437"/>
    </row>
    <row r="580" spans="2:14" ht="12.75">
      <c r="B580" s="437"/>
      <c r="C580" s="437"/>
      <c r="D580" s="437"/>
      <c r="E580" s="437"/>
      <c r="F580" s="437"/>
      <c r="G580" s="437"/>
      <c r="H580" s="437"/>
      <c r="I580" s="437"/>
      <c r="J580" s="437"/>
      <c r="K580" s="437"/>
      <c r="L580" s="437"/>
      <c r="M580" s="437"/>
      <c r="N580" s="437"/>
    </row>
    <row r="581" spans="2:14" ht="12.75">
      <c r="B581" s="437"/>
      <c r="C581" s="437"/>
      <c r="D581" s="437"/>
      <c r="E581" s="437"/>
      <c r="F581" s="437"/>
      <c r="G581" s="437"/>
      <c r="H581" s="437"/>
      <c r="I581" s="437"/>
      <c r="J581" s="437"/>
      <c r="K581" s="437"/>
      <c r="L581" s="437"/>
      <c r="M581" s="437"/>
      <c r="N581" s="437"/>
    </row>
    <row r="582" spans="2:14" ht="12.75">
      <c r="B582" s="437"/>
      <c r="C582" s="437"/>
      <c r="D582" s="437"/>
      <c r="E582" s="437"/>
      <c r="F582" s="437"/>
      <c r="G582" s="437"/>
      <c r="H582" s="437"/>
      <c r="I582" s="437"/>
      <c r="J582" s="437"/>
      <c r="K582" s="437"/>
      <c r="L582" s="437"/>
      <c r="M582" s="437"/>
      <c r="N582" s="437"/>
    </row>
    <row r="583" spans="2:14" ht="12.75">
      <c r="B583" s="437"/>
      <c r="C583" s="437"/>
      <c r="D583" s="437"/>
      <c r="E583" s="437"/>
      <c r="F583" s="437"/>
      <c r="G583" s="437"/>
      <c r="H583" s="437"/>
      <c r="I583" s="437"/>
      <c r="J583" s="437"/>
      <c r="K583" s="437"/>
      <c r="L583" s="437"/>
      <c r="M583" s="437"/>
      <c r="N583" s="437"/>
    </row>
    <row r="584" spans="2:14" ht="12.75">
      <c r="B584" s="437"/>
      <c r="C584" s="437"/>
      <c r="D584" s="437"/>
      <c r="E584" s="437"/>
      <c r="F584" s="437"/>
      <c r="G584" s="437"/>
      <c r="H584" s="437"/>
      <c r="I584" s="437"/>
      <c r="J584" s="437"/>
      <c r="K584" s="437"/>
      <c r="L584" s="437"/>
      <c r="M584" s="437"/>
      <c r="N584" s="437"/>
    </row>
    <row r="585" spans="2:14" ht="12.75">
      <c r="B585" s="437"/>
      <c r="C585" s="437"/>
      <c r="D585" s="437"/>
      <c r="E585" s="437"/>
      <c r="F585" s="437"/>
      <c r="G585" s="437"/>
      <c r="H585" s="437"/>
      <c r="I585" s="437"/>
      <c r="J585" s="437"/>
      <c r="K585" s="437"/>
      <c r="L585" s="437"/>
      <c r="M585" s="437"/>
      <c r="N585" s="437"/>
    </row>
    <row r="586" spans="2:14" ht="12.75">
      <c r="B586" s="437"/>
      <c r="C586" s="437"/>
      <c r="D586" s="437"/>
      <c r="E586" s="437"/>
      <c r="F586" s="437"/>
      <c r="G586" s="437"/>
      <c r="H586" s="437"/>
      <c r="I586" s="437"/>
      <c r="J586" s="437"/>
      <c r="K586" s="437"/>
      <c r="L586" s="437"/>
      <c r="M586" s="437"/>
      <c r="N586" s="437"/>
    </row>
    <row r="587" spans="2:14" ht="12.75">
      <c r="B587" s="437"/>
      <c r="C587" s="437"/>
      <c r="D587" s="437"/>
      <c r="E587" s="437"/>
      <c r="F587" s="437"/>
      <c r="G587" s="437"/>
      <c r="H587" s="437"/>
      <c r="I587" s="437"/>
      <c r="J587" s="437"/>
      <c r="K587" s="437"/>
      <c r="L587" s="437"/>
      <c r="M587" s="437"/>
      <c r="N587" s="437"/>
    </row>
    <row r="588" spans="2:14" ht="12.75">
      <c r="B588" s="437"/>
      <c r="C588" s="437"/>
      <c r="D588" s="437"/>
      <c r="E588" s="437"/>
      <c r="F588" s="437"/>
      <c r="G588" s="437"/>
      <c r="H588" s="437"/>
      <c r="I588" s="437"/>
      <c r="J588" s="437"/>
      <c r="K588" s="437"/>
      <c r="L588" s="437"/>
      <c r="M588" s="437"/>
      <c r="N588" s="437"/>
    </row>
    <row r="589" spans="2:14" ht="12.75">
      <c r="B589" s="437"/>
      <c r="C589" s="437"/>
      <c r="D589" s="437"/>
      <c r="E589" s="437"/>
      <c r="F589" s="437"/>
      <c r="G589" s="437"/>
      <c r="H589" s="437"/>
      <c r="I589" s="437"/>
      <c r="J589" s="437"/>
      <c r="K589" s="437"/>
      <c r="L589" s="437"/>
      <c r="M589" s="437"/>
      <c r="N589" s="437"/>
    </row>
    <row r="590" spans="2:14" ht="12.75">
      <c r="B590" s="437"/>
      <c r="C590" s="437"/>
      <c r="D590" s="437"/>
      <c r="E590" s="437"/>
      <c r="F590" s="437"/>
      <c r="G590" s="437"/>
      <c r="H590" s="437"/>
      <c r="I590" s="437"/>
      <c r="J590" s="437"/>
      <c r="K590" s="437"/>
      <c r="L590" s="437"/>
      <c r="M590" s="437"/>
      <c r="N590" s="437"/>
    </row>
    <row r="591" spans="2:14" ht="12.75">
      <c r="B591" s="437"/>
      <c r="C591" s="437"/>
      <c r="D591" s="437"/>
      <c r="E591" s="437"/>
      <c r="F591" s="437"/>
      <c r="G591" s="437"/>
      <c r="H591" s="437"/>
      <c r="I591" s="437"/>
      <c r="J591" s="437"/>
      <c r="K591" s="437"/>
      <c r="L591" s="437"/>
      <c r="M591" s="437"/>
      <c r="N591" s="437"/>
    </row>
    <row r="592" spans="2:14" ht="12.75">
      <c r="B592" s="437"/>
      <c r="C592" s="437"/>
      <c r="D592" s="437"/>
      <c r="E592" s="437"/>
      <c r="F592" s="437"/>
      <c r="G592" s="437"/>
      <c r="H592" s="437"/>
      <c r="I592" s="437"/>
      <c r="J592" s="437"/>
      <c r="K592" s="437"/>
      <c r="L592" s="437"/>
      <c r="M592" s="437"/>
      <c r="N592" s="437"/>
    </row>
    <row r="593" spans="2:14" ht="12.75">
      <c r="B593" s="437"/>
      <c r="C593" s="437"/>
      <c r="D593" s="437"/>
      <c r="E593" s="437"/>
      <c r="F593" s="437"/>
      <c r="G593" s="437"/>
      <c r="H593" s="437"/>
      <c r="I593" s="437"/>
      <c r="J593" s="437"/>
      <c r="K593" s="437"/>
      <c r="L593" s="437"/>
      <c r="M593" s="437"/>
      <c r="N593" s="437"/>
    </row>
    <row r="594" spans="2:14" ht="12.75">
      <c r="B594" s="437"/>
      <c r="C594" s="437"/>
      <c r="D594" s="437"/>
      <c r="E594" s="437"/>
      <c r="F594" s="437"/>
      <c r="G594" s="437"/>
      <c r="H594" s="437"/>
      <c r="I594" s="437"/>
      <c r="J594" s="437"/>
      <c r="K594" s="437"/>
      <c r="L594" s="437"/>
      <c r="M594" s="437"/>
      <c r="N594" s="437"/>
    </row>
    <row r="595" spans="2:14" ht="12.75">
      <c r="B595" s="437"/>
      <c r="C595" s="437"/>
      <c r="D595" s="437"/>
      <c r="E595" s="437"/>
      <c r="F595" s="437"/>
      <c r="G595" s="437"/>
      <c r="H595" s="437"/>
      <c r="I595" s="437"/>
      <c r="J595" s="437"/>
      <c r="K595" s="437"/>
      <c r="L595" s="437"/>
      <c r="M595" s="437"/>
      <c r="N595" s="437"/>
    </row>
    <row r="596" spans="2:14" ht="12.75">
      <c r="B596" s="437"/>
      <c r="C596" s="437"/>
      <c r="D596" s="437"/>
      <c r="E596" s="437"/>
      <c r="F596" s="437"/>
      <c r="G596" s="437"/>
      <c r="H596" s="437"/>
      <c r="I596" s="437"/>
      <c r="J596" s="437"/>
      <c r="K596" s="437"/>
      <c r="L596" s="437"/>
      <c r="M596" s="437"/>
      <c r="N596" s="437"/>
    </row>
    <row r="597" spans="2:14" ht="12.75">
      <c r="B597" s="437"/>
      <c r="C597" s="437"/>
      <c r="D597" s="437"/>
      <c r="E597" s="437"/>
      <c r="F597" s="437"/>
      <c r="G597" s="437"/>
      <c r="H597" s="437"/>
      <c r="I597" s="437"/>
      <c r="J597" s="437"/>
      <c r="K597" s="437"/>
      <c r="L597" s="437"/>
      <c r="M597" s="437"/>
      <c r="N597" s="437"/>
    </row>
    <row r="598" spans="2:14" ht="12.75">
      <c r="B598" s="437"/>
      <c r="C598" s="437"/>
      <c r="D598" s="437"/>
      <c r="E598" s="437"/>
      <c r="F598" s="437"/>
      <c r="G598" s="437"/>
      <c r="H598" s="437"/>
      <c r="I598" s="437"/>
      <c r="J598" s="437"/>
      <c r="K598" s="437"/>
      <c r="L598" s="437"/>
      <c r="M598" s="437"/>
      <c r="N598" s="437"/>
    </row>
    <row r="599" spans="2:14" ht="12.75">
      <c r="B599" s="437"/>
      <c r="C599" s="437"/>
      <c r="D599" s="437"/>
      <c r="E599" s="437"/>
      <c r="F599" s="437"/>
      <c r="G599" s="437"/>
      <c r="H599" s="437"/>
      <c r="I599" s="437"/>
      <c r="J599" s="437"/>
      <c r="K599" s="437"/>
      <c r="L599" s="437"/>
      <c r="M599" s="437"/>
      <c r="N599" s="437"/>
    </row>
    <row r="600" spans="2:14" ht="12.75">
      <c r="B600" s="437"/>
      <c r="C600" s="437"/>
      <c r="D600" s="437"/>
      <c r="E600" s="437"/>
      <c r="F600" s="437"/>
      <c r="G600" s="437"/>
      <c r="H600" s="437"/>
      <c r="I600" s="437"/>
      <c r="J600" s="437"/>
      <c r="K600" s="437"/>
      <c r="L600" s="437"/>
      <c r="M600" s="437"/>
      <c r="N600" s="437"/>
    </row>
    <row r="601" spans="2:14" ht="12.75">
      <c r="B601" s="437"/>
      <c r="C601" s="437"/>
      <c r="D601" s="437"/>
      <c r="E601" s="437"/>
      <c r="F601" s="437"/>
      <c r="G601" s="437"/>
      <c r="H601" s="437"/>
      <c r="I601" s="437"/>
      <c r="J601" s="437"/>
      <c r="K601" s="437"/>
      <c r="L601" s="437"/>
      <c r="M601" s="437"/>
      <c r="N601" s="437"/>
    </row>
    <row r="602" spans="2:14" ht="12.75">
      <c r="B602" s="437"/>
      <c r="C602" s="437"/>
      <c r="D602" s="437"/>
      <c r="E602" s="437"/>
      <c r="F602" s="437"/>
      <c r="G602" s="437"/>
      <c r="H602" s="437"/>
      <c r="I602" s="437"/>
      <c r="J602" s="437"/>
      <c r="K602" s="437"/>
      <c r="L602" s="437"/>
      <c r="M602" s="437"/>
      <c r="N602" s="437"/>
    </row>
    <row r="603" spans="2:14" ht="12.75">
      <c r="B603" s="437"/>
      <c r="C603" s="437"/>
      <c r="D603" s="437"/>
      <c r="E603" s="437"/>
      <c r="F603" s="437"/>
      <c r="G603" s="437"/>
      <c r="H603" s="437"/>
      <c r="I603" s="437"/>
      <c r="J603" s="437"/>
      <c r="K603" s="437"/>
      <c r="L603" s="437"/>
      <c r="M603" s="437"/>
      <c r="N603" s="437"/>
    </row>
    <row r="604" spans="2:14" ht="12.75">
      <c r="B604" s="437"/>
      <c r="C604" s="437"/>
      <c r="D604" s="437"/>
      <c r="E604" s="437"/>
      <c r="F604" s="437"/>
      <c r="G604" s="437"/>
      <c r="H604" s="437"/>
      <c r="I604" s="437"/>
      <c r="J604" s="437"/>
      <c r="K604" s="437"/>
      <c r="L604" s="437"/>
      <c r="M604" s="437"/>
      <c r="N604" s="437"/>
    </row>
    <row r="605" spans="2:14" ht="12.75">
      <c r="B605" s="437"/>
      <c r="C605" s="437"/>
      <c r="D605" s="437"/>
      <c r="E605" s="437"/>
      <c r="F605" s="437"/>
      <c r="G605" s="437"/>
      <c r="H605" s="437"/>
      <c r="I605" s="437"/>
      <c r="J605" s="437"/>
      <c r="K605" s="437"/>
      <c r="L605" s="437"/>
      <c r="M605" s="437"/>
      <c r="N605" s="437"/>
    </row>
    <row r="606" spans="2:14" ht="12.75">
      <c r="B606" s="437"/>
      <c r="C606" s="437"/>
      <c r="D606" s="437"/>
      <c r="E606" s="437"/>
      <c r="F606" s="437"/>
      <c r="G606" s="437"/>
      <c r="H606" s="437"/>
      <c r="I606" s="437"/>
      <c r="J606" s="437"/>
      <c r="K606" s="437"/>
      <c r="L606" s="437"/>
      <c r="M606" s="437"/>
      <c r="N606" s="437"/>
    </row>
    <row r="607" spans="2:14" ht="12.75">
      <c r="B607" s="437"/>
      <c r="C607" s="437"/>
      <c r="D607" s="437"/>
      <c r="E607" s="437"/>
      <c r="F607" s="437"/>
      <c r="G607" s="437"/>
      <c r="H607" s="437"/>
      <c r="I607" s="437"/>
      <c r="J607" s="437"/>
      <c r="K607" s="437"/>
      <c r="L607" s="437"/>
      <c r="M607" s="437"/>
      <c r="N607" s="437"/>
    </row>
    <row r="608" spans="2:14" ht="12.75">
      <c r="B608" s="437"/>
      <c r="C608" s="437"/>
      <c r="D608" s="437"/>
      <c r="E608" s="437"/>
      <c r="F608" s="437"/>
      <c r="G608" s="437"/>
      <c r="H608" s="437"/>
      <c r="I608" s="437"/>
      <c r="J608" s="437"/>
      <c r="K608" s="437"/>
      <c r="L608" s="437"/>
      <c r="M608" s="437"/>
      <c r="N608" s="437"/>
    </row>
    <row r="609" spans="2:14" ht="12.75">
      <c r="B609" s="437"/>
      <c r="C609" s="437"/>
      <c r="D609" s="437"/>
      <c r="E609" s="437"/>
      <c r="F609" s="437"/>
      <c r="G609" s="437"/>
      <c r="H609" s="437"/>
      <c r="I609" s="437"/>
      <c r="J609" s="437"/>
      <c r="K609" s="437"/>
      <c r="L609" s="437"/>
      <c r="M609" s="437"/>
      <c r="N609" s="437"/>
    </row>
    <row r="610" spans="2:14" ht="12.75">
      <c r="B610" s="437"/>
      <c r="C610" s="437"/>
      <c r="D610" s="437"/>
      <c r="E610" s="437"/>
      <c r="F610" s="437"/>
      <c r="G610" s="437"/>
      <c r="H610" s="437"/>
      <c r="I610" s="437"/>
      <c r="J610" s="437"/>
      <c r="K610" s="437"/>
      <c r="L610" s="437"/>
      <c r="M610" s="437"/>
      <c r="N610" s="437"/>
    </row>
    <row r="611" spans="2:14" ht="12.75">
      <c r="B611" s="437"/>
      <c r="C611" s="437"/>
      <c r="D611" s="437"/>
      <c r="E611" s="437"/>
      <c r="F611" s="437"/>
      <c r="G611" s="437"/>
      <c r="H611" s="437"/>
      <c r="I611" s="437"/>
      <c r="J611" s="437"/>
      <c r="K611" s="437"/>
      <c r="L611" s="437"/>
      <c r="M611" s="437"/>
      <c r="N611" s="437"/>
    </row>
    <row r="612" spans="2:14" ht="12.75">
      <c r="B612" s="437"/>
      <c r="C612" s="437"/>
      <c r="D612" s="437"/>
      <c r="E612" s="437"/>
      <c r="F612" s="437"/>
      <c r="G612" s="437"/>
      <c r="H612" s="437"/>
      <c r="I612" s="437"/>
      <c r="J612" s="437"/>
      <c r="K612" s="437"/>
      <c r="L612" s="437"/>
      <c r="M612" s="437"/>
      <c r="N612" s="437"/>
    </row>
    <row r="613" spans="2:14" ht="12.75">
      <c r="B613" s="437"/>
      <c r="C613" s="437"/>
      <c r="D613" s="437"/>
      <c r="E613" s="437"/>
      <c r="F613" s="437"/>
      <c r="G613" s="437"/>
      <c r="H613" s="437"/>
      <c r="I613" s="437"/>
      <c r="J613" s="437"/>
      <c r="K613" s="437"/>
      <c r="L613" s="437"/>
      <c r="M613" s="437"/>
      <c r="N613" s="437"/>
    </row>
    <row r="614" spans="2:14" ht="12.75">
      <c r="B614" s="437"/>
      <c r="C614" s="437"/>
      <c r="D614" s="437"/>
      <c r="E614" s="437"/>
      <c r="F614" s="437"/>
      <c r="G614" s="437"/>
      <c r="H614" s="437"/>
      <c r="I614" s="437"/>
      <c r="J614" s="437"/>
      <c r="K614" s="437"/>
      <c r="L614" s="437"/>
      <c r="M614" s="437"/>
      <c r="N614" s="437"/>
    </row>
    <row r="615" spans="2:14" ht="12.75">
      <c r="B615" s="437"/>
      <c r="C615" s="437"/>
      <c r="D615" s="437"/>
      <c r="E615" s="437"/>
      <c r="F615" s="437"/>
      <c r="G615" s="437"/>
      <c r="H615" s="437"/>
      <c r="I615" s="437"/>
      <c r="J615" s="437"/>
      <c r="K615" s="437"/>
      <c r="L615" s="437"/>
      <c r="M615" s="437"/>
      <c r="N615" s="437"/>
    </row>
    <row r="616" spans="2:14" ht="12.75">
      <c r="B616" s="437"/>
      <c r="C616" s="437"/>
      <c r="D616" s="437"/>
      <c r="E616" s="437"/>
      <c r="F616" s="437"/>
      <c r="G616" s="437"/>
      <c r="H616" s="437"/>
      <c r="I616" s="437"/>
      <c r="J616" s="437"/>
      <c r="K616" s="437"/>
      <c r="L616" s="437"/>
      <c r="M616" s="437"/>
      <c r="N616" s="437"/>
    </row>
    <row r="617" spans="2:14" ht="12.75">
      <c r="B617" s="437"/>
      <c r="C617" s="437"/>
      <c r="D617" s="437"/>
      <c r="E617" s="437"/>
      <c r="F617" s="437"/>
      <c r="G617" s="437"/>
      <c r="H617" s="437"/>
      <c r="I617" s="437"/>
      <c r="J617" s="437"/>
      <c r="K617" s="437"/>
      <c r="L617" s="437"/>
      <c r="M617" s="437"/>
      <c r="N617" s="437"/>
    </row>
    <row r="618" spans="2:14" ht="12.75">
      <c r="B618" s="437"/>
      <c r="C618" s="437"/>
      <c r="D618" s="437"/>
      <c r="E618" s="437"/>
      <c r="F618" s="437"/>
      <c r="G618" s="437"/>
      <c r="H618" s="437"/>
      <c r="I618" s="437"/>
      <c r="J618" s="437"/>
      <c r="K618" s="437"/>
      <c r="L618" s="437"/>
      <c r="M618" s="437"/>
      <c r="N618" s="437"/>
    </row>
    <row r="619" spans="2:14" ht="12.75">
      <c r="B619" s="437"/>
      <c r="C619" s="437"/>
      <c r="D619" s="437"/>
      <c r="E619" s="437"/>
      <c r="F619" s="437"/>
      <c r="G619" s="437"/>
      <c r="H619" s="437"/>
      <c r="I619" s="437"/>
      <c r="J619" s="437"/>
      <c r="K619" s="437"/>
      <c r="L619" s="437"/>
      <c r="M619" s="437"/>
      <c r="N619" s="437"/>
    </row>
    <row r="620" spans="2:14" ht="12.75">
      <c r="B620" s="437"/>
      <c r="C620" s="437"/>
      <c r="D620" s="437"/>
      <c r="E620" s="437"/>
      <c r="F620" s="437"/>
      <c r="G620" s="437"/>
      <c r="H620" s="437"/>
      <c r="I620" s="437"/>
      <c r="J620" s="437"/>
      <c r="K620" s="437"/>
      <c r="L620" s="437"/>
      <c r="M620" s="437"/>
      <c r="N620" s="437"/>
    </row>
    <row r="621" spans="2:14" ht="12.75">
      <c r="B621" s="437"/>
      <c r="C621" s="437"/>
      <c r="D621" s="437"/>
      <c r="E621" s="437"/>
      <c r="F621" s="437"/>
      <c r="G621" s="437"/>
      <c r="H621" s="437"/>
      <c r="I621" s="437"/>
      <c r="J621" s="437"/>
      <c r="K621" s="437"/>
      <c r="L621" s="437"/>
      <c r="M621" s="437"/>
      <c r="N621" s="437"/>
    </row>
    <row r="622" spans="2:14" ht="12.75">
      <c r="B622" s="437"/>
      <c r="C622" s="437"/>
      <c r="D622" s="437"/>
      <c r="E622" s="437"/>
      <c r="F622" s="437"/>
      <c r="G622" s="437"/>
      <c r="H622" s="437"/>
      <c r="I622" s="437"/>
      <c r="J622" s="437"/>
      <c r="K622" s="437"/>
      <c r="L622" s="437"/>
      <c r="M622" s="437"/>
      <c r="N622" s="437"/>
    </row>
    <row r="623" spans="2:14" ht="12.75">
      <c r="B623" s="437"/>
      <c r="C623" s="437"/>
      <c r="D623" s="437"/>
      <c r="E623" s="437"/>
      <c r="F623" s="437"/>
      <c r="G623" s="437"/>
      <c r="H623" s="437"/>
      <c r="I623" s="437"/>
      <c r="J623" s="437"/>
      <c r="K623" s="437"/>
      <c r="L623" s="437"/>
      <c r="M623" s="437"/>
      <c r="N623" s="437"/>
    </row>
    <row r="624" spans="2:14" ht="12.75">
      <c r="B624" s="437"/>
      <c r="C624" s="437"/>
      <c r="D624" s="437"/>
      <c r="E624" s="437"/>
      <c r="F624" s="437"/>
      <c r="G624" s="437"/>
      <c r="H624" s="437"/>
      <c r="I624" s="437"/>
      <c r="J624" s="437"/>
      <c r="K624" s="437"/>
      <c r="L624" s="437"/>
      <c r="M624" s="437"/>
      <c r="N624" s="437"/>
    </row>
    <row r="625" spans="2:14" ht="12.75">
      <c r="B625" s="437"/>
      <c r="C625" s="437"/>
      <c r="D625" s="437"/>
      <c r="E625" s="437"/>
      <c r="F625" s="437"/>
      <c r="G625" s="437"/>
      <c r="H625" s="437"/>
      <c r="I625" s="437"/>
      <c r="J625" s="437"/>
      <c r="K625" s="437"/>
      <c r="L625" s="437"/>
      <c r="M625" s="437"/>
      <c r="N625" s="437"/>
    </row>
    <row r="626" spans="2:14" ht="12.75">
      <c r="B626" s="437"/>
      <c r="C626" s="437"/>
      <c r="D626" s="437"/>
      <c r="E626" s="437"/>
      <c r="F626" s="437"/>
      <c r="G626" s="437"/>
      <c r="H626" s="437"/>
      <c r="I626" s="437"/>
      <c r="J626" s="437"/>
      <c r="K626" s="437"/>
      <c r="L626" s="437"/>
      <c r="M626" s="437"/>
      <c r="N626" s="437"/>
    </row>
    <row r="627" spans="2:14" ht="12.75">
      <c r="B627" s="437"/>
      <c r="C627" s="437"/>
      <c r="D627" s="437"/>
      <c r="E627" s="437"/>
      <c r="F627" s="437"/>
      <c r="G627" s="437"/>
      <c r="H627" s="437"/>
      <c r="I627" s="437"/>
      <c r="J627" s="437"/>
      <c r="K627" s="437"/>
      <c r="L627" s="437"/>
      <c r="M627" s="437"/>
      <c r="N627" s="437"/>
    </row>
    <row r="628" spans="2:14" ht="12.75">
      <c r="B628" s="437"/>
      <c r="C628" s="437"/>
      <c r="D628" s="437"/>
      <c r="E628" s="437"/>
      <c r="F628" s="437"/>
      <c r="G628" s="437"/>
      <c r="H628" s="437"/>
      <c r="I628" s="437"/>
      <c r="J628" s="437"/>
      <c r="K628" s="437"/>
      <c r="L628" s="437"/>
      <c r="M628" s="437"/>
      <c r="N628" s="437"/>
    </row>
    <row r="629" spans="2:14" ht="12.75">
      <c r="B629" s="437"/>
      <c r="C629" s="437"/>
      <c r="D629" s="437"/>
      <c r="E629" s="437"/>
      <c r="F629" s="437"/>
      <c r="G629" s="437"/>
      <c r="H629" s="437"/>
      <c r="I629" s="437"/>
      <c r="J629" s="437"/>
      <c r="K629" s="437"/>
      <c r="L629" s="437"/>
      <c r="M629" s="437"/>
      <c r="N629" s="437"/>
    </row>
    <row r="630" spans="2:14" ht="12.75">
      <c r="B630" s="437"/>
      <c r="C630" s="437"/>
      <c r="D630" s="437"/>
      <c r="E630" s="437"/>
      <c r="F630" s="437"/>
      <c r="G630" s="437"/>
      <c r="H630" s="437"/>
      <c r="I630" s="437"/>
      <c r="J630" s="437"/>
      <c r="K630" s="437"/>
      <c r="L630" s="437"/>
      <c r="M630" s="437"/>
      <c r="N630" s="437"/>
    </row>
    <row r="631" spans="2:14" ht="12.75">
      <c r="B631" s="437"/>
      <c r="C631" s="437"/>
      <c r="D631" s="437"/>
      <c r="E631" s="437"/>
      <c r="F631" s="437"/>
      <c r="G631" s="437"/>
      <c r="H631" s="437"/>
      <c r="I631" s="437"/>
      <c r="J631" s="437"/>
      <c r="K631" s="437"/>
      <c r="L631" s="437"/>
      <c r="M631" s="437"/>
      <c r="N631" s="437"/>
    </row>
    <row r="632" spans="2:14" ht="12.75">
      <c r="B632" s="437"/>
      <c r="C632" s="437"/>
      <c r="D632" s="437"/>
      <c r="E632" s="437"/>
      <c r="F632" s="437"/>
      <c r="G632" s="437"/>
      <c r="H632" s="437"/>
      <c r="I632" s="437"/>
      <c r="J632" s="437"/>
      <c r="K632" s="437"/>
      <c r="L632" s="437"/>
      <c r="M632" s="437"/>
      <c r="N632" s="437"/>
    </row>
    <row r="633" spans="2:14" ht="12.75">
      <c r="B633" s="437"/>
      <c r="C633" s="437"/>
      <c r="D633" s="437"/>
      <c r="E633" s="437"/>
      <c r="F633" s="437"/>
      <c r="G633" s="437"/>
      <c r="H633" s="437"/>
      <c r="I633" s="437"/>
      <c r="J633" s="437"/>
      <c r="K633" s="437"/>
      <c r="L633" s="437"/>
      <c r="M633" s="437"/>
      <c r="N633" s="437"/>
    </row>
    <row r="634" spans="2:14" ht="12.75">
      <c r="B634" s="437"/>
      <c r="C634" s="437"/>
      <c r="D634" s="437"/>
      <c r="E634" s="437"/>
      <c r="F634" s="437"/>
      <c r="G634" s="437"/>
      <c r="H634" s="437"/>
      <c r="I634" s="437"/>
      <c r="J634" s="437"/>
      <c r="K634" s="437"/>
      <c r="L634" s="437"/>
      <c r="M634" s="437"/>
      <c r="N634" s="437"/>
    </row>
    <row r="635" spans="2:14" ht="12.75">
      <c r="B635" s="437"/>
      <c r="C635" s="437"/>
      <c r="D635" s="437"/>
      <c r="E635" s="437"/>
      <c r="F635" s="437"/>
      <c r="G635" s="437"/>
      <c r="H635" s="437"/>
      <c r="I635" s="437"/>
      <c r="J635" s="437"/>
      <c r="K635" s="437"/>
      <c r="L635" s="437"/>
      <c r="M635" s="437"/>
      <c r="N635" s="437"/>
    </row>
    <row r="636" spans="2:14" ht="12.75">
      <c r="B636" s="437"/>
      <c r="C636" s="437"/>
      <c r="D636" s="437"/>
      <c r="E636" s="437"/>
      <c r="F636" s="437"/>
      <c r="G636" s="437"/>
      <c r="H636" s="437"/>
      <c r="I636" s="437"/>
      <c r="J636" s="437"/>
      <c r="K636" s="437"/>
      <c r="L636" s="437"/>
      <c r="M636" s="437"/>
      <c r="N636" s="437"/>
    </row>
    <row r="637" spans="2:14" ht="12.75">
      <c r="B637" s="437"/>
      <c r="C637" s="437"/>
      <c r="D637" s="437"/>
      <c r="E637" s="437"/>
      <c r="F637" s="437"/>
      <c r="G637" s="437"/>
      <c r="H637" s="437"/>
      <c r="I637" s="437"/>
      <c r="J637" s="437"/>
      <c r="K637" s="437"/>
      <c r="L637" s="437"/>
      <c r="M637" s="437"/>
      <c r="N637" s="437"/>
    </row>
    <row r="638" spans="2:14" ht="12.75">
      <c r="B638" s="437"/>
      <c r="C638" s="437"/>
      <c r="D638" s="437"/>
      <c r="E638" s="437"/>
      <c r="F638" s="437"/>
      <c r="G638" s="437"/>
      <c r="H638" s="437"/>
      <c r="I638" s="437"/>
      <c r="J638" s="437"/>
      <c r="K638" s="437"/>
      <c r="L638" s="437"/>
      <c r="M638" s="437"/>
      <c r="N638" s="437"/>
    </row>
    <row r="639" spans="2:14" ht="12.75">
      <c r="B639" s="437"/>
      <c r="C639" s="437"/>
      <c r="D639" s="437"/>
      <c r="E639" s="437"/>
      <c r="F639" s="437"/>
      <c r="G639" s="437"/>
      <c r="H639" s="437"/>
      <c r="I639" s="437"/>
      <c r="J639" s="437"/>
      <c r="K639" s="437"/>
      <c r="L639" s="437"/>
      <c r="M639" s="437"/>
      <c r="N639" s="437"/>
    </row>
    <row r="640" spans="2:14" ht="12.75">
      <c r="B640" s="437"/>
      <c r="C640" s="437"/>
      <c r="D640" s="437"/>
      <c r="E640" s="437"/>
      <c r="F640" s="437"/>
      <c r="G640" s="437"/>
      <c r="H640" s="437"/>
      <c r="I640" s="437"/>
      <c r="J640" s="437"/>
      <c r="K640" s="437"/>
      <c r="L640" s="437"/>
      <c r="M640" s="437"/>
      <c r="N640" s="437"/>
    </row>
    <row r="641" spans="2:14" ht="12.75">
      <c r="B641" s="437"/>
      <c r="C641" s="437"/>
      <c r="D641" s="437"/>
      <c r="E641" s="437"/>
      <c r="F641" s="437"/>
      <c r="G641" s="437"/>
      <c r="H641" s="437"/>
      <c r="I641" s="437"/>
      <c r="J641" s="437"/>
      <c r="K641" s="437"/>
      <c r="L641" s="437"/>
      <c r="M641" s="437"/>
      <c r="N641" s="437"/>
    </row>
    <row r="642" spans="2:14" ht="12.75">
      <c r="B642" s="437"/>
      <c r="C642" s="437"/>
      <c r="D642" s="437"/>
      <c r="E642" s="437"/>
      <c r="F642" s="437"/>
      <c r="G642" s="437"/>
      <c r="H642" s="437"/>
      <c r="I642" s="437"/>
      <c r="J642" s="437"/>
      <c r="K642" s="437"/>
      <c r="L642" s="437"/>
      <c r="M642" s="437"/>
      <c r="N642" s="437"/>
    </row>
    <row r="643" spans="2:14" ht="12.75">
      <c r="B643" s="437"/>
      <c r="C643" s="437"/>
      <c r="D643" s="437"/>
      <c r="E643" s="437"/>
      <c r="F643" s="437"/>
      <c r="G643" s="437"/>
      <c r="H643" s="437"/>
      <c r="I643" s="437"/>
      <c r="J643" s="437"/>
      <c r="K643" s="437"/>
      <c r="L643" s="437"/>
      <c r="M643" s="437"/>
      <c r="N643" s="437"/>
    </row>
    <row r="644" spans="2:14" ht="12.75">
      <c r="B644" s="437"/>
      <c r="C644" s="437"/>
      <c r="D644" s="437"/>
      <c r="E644" s="437"/>
      <c r="F644" s="437"/>
      <c r="G644" s="437"/>
      <c r="H644" s="437"/>
      <c r="I644" s="437"/>
      <c r="J644" s="437"/>
      <c r="K644" s="437"/>
      <c r="L644" s="437"/>
      <c r="M644" s="437"/>
      <c r="N644" s="437"/>
    </row>
    <row r="645" spans="2:14" ht="12.75">
      <c r="B645" s="437"/>
      <c r="C645" s="437"/>
      <c r="D645" s="437"/>
      <c r="E645" s="437"/>
      <c r="F645" s="437"/>
      <c r="G645" s="437"/>
      <c r="H645" s="437"/>
      <c r="I645" s="437"/>
      <c r="J645" s="437"/>
      <c r="K645" s="437"/>
      <c r="L645" s="437"/>
      <c r="M645" s="437"/>
      <c r="N645" s="437"/>
    </row>
    <row r="646" spans="2:14" ht="12.75">
      <c r="B646" s="437"/>
      <c r="C646" s="437"/>
      <c r="D646" s="437"/>
      <c r="E646" s="437"/>
      <c r="F646" s="437"/>
      <c r="G646" s="437"/>
      <c r="H646" s="437"/>
      <c r="I646" s="437"/>
      <c r="J646" s="437"/>
      <c r="K646" s="437"/>
      <c r="L646" s="437"/>
      <c r="M646" s="437"/>
      <c r="N646" s="437"/>
    </row>
    <row r="647" spans="2:14" ht="12.75">
      <c r="B647" s="437"/>
      <c r="C647" s="437"/>
      <c r="D647" s="437"/>
      <c r="E647" s="437"/>
      <c r="F647" s="437"/>
      <c r="G647" s="437"/>
      <c r="H647" s="437"/>
      <c r="I647" s="437"/>
      <c r="J647" s="437"/>
      <c r="K647" s="437"/>
      <c r="L647" s="437"/>
      <c r="M647" s="437"/>
      <c r="N647" s="437"/>
    </row>
    <row r="648" spans="2:14" ht="12.75">
      <c r="B648" s="437"/>
      <c r="C648" s="437"/>
      <c r="D648" s="437"/>
      <c r="E648" s="437"/>
      <c r="F648" s="437"/>
      <c r="G648" s="437"/>
      <c r="H648" s="437"/>
      <c r="I648" s="437"/>
      <c r="J648" s="437"/>
      <c r="K648" s="437"/>
      <c r="L648" s="437"/>
      <c r="M648" s="437"/>
      <c r="N648" s="437"/>
    </row>
    <row r="649" spans="2:14" ht="12.75">
      <c r="B649" s="437"/>
      <c r="C649" s="437"/>
      <c r="D649" s="437"/>
      <c r="E649" s="437"/>
      <c r="F649" s="437"/>
      <c r="G649" s="437"/>
      <c r="H649" s="437"/>
      <c r="I649" s="437"/>
      <c r="J649" s="437"/>
      <c r="K649" s="437"/>
      <c r="L649" s="437"/>
      <c r="M649" s="437"/>
      <c r="N649" s="437"/>
    </row>
    <row r="650" spans="2:14" ht="12.75">
      <c r="B650" s="437"/>
      <c r="C650" s="437"/>
      <c r="D650" s="437"/>
      <c r="E650" s="437"/>
      <c r="F650" s="437"/>
      <c r="G650" s="437"/>
      <c r="H650" s="437"/>
      <c r="I650" s="437"/>
      <c r="J650" s="437"/>
      <c r="K650" s="437"/>
      <c r="L650" s="437"/>
      <c r="M650" s="437"/>
      <c r="N650" s="437"/>
    </row>
    <row r="651" spans="2:14" ht="12.75">
      <c r="B651" s="437"/>
      <c r="C651" s="437"/>
      <c r="D651" s="437"/>
      <c r="E651" s="437"/>
      <c r="F651" s="437"/>
      <c r="G651" s="437"/>
      <c r="H651" s="437"/>
      <c r="I651" s="437"/>
      <c r="J651" s="437"/>
      <c r="K651" s="437"/>
      <c r="L651" s="437"/>
      <c r="M651" s="437"/>
      <c r="N651" s="437"/>
    </row>
    <row r="652" spans="2:14" ht="12.75">
      <c r="B652" s="437"/>
      <c r="C652" s="437"/>
      <c r="D652" s="437"/>
      <c r="E652" s="437"/>
      <c r="F652" s="437"/>
      <c r="G652" s="437"/>
      <c r="H652" s="437"/>
      <c r="I652" s="437"/>
      <c r="J652" s="437"/>
      <c r="K652" s="437"/>
      <c r="L652" s="437"/>
      <c r="M652" s="437"/>
      <c r="N652" s="437"/>
    </row>
    <row r="653" spans="2:14" ht="12.75">
      <c r="B653" s="437"/>
      <c r="C653" s="437"/>
      <c r="D653" s="437"/>
      <c r="E653" s="437"/>
      <c r="F653" s="437"/>
      <c r="G653" s="437"/>
      <c r="H653" s="437"/>
      <c r="I653" s="437"/>
      <c r="J653" s="437"/>
      <c r="K653" s="437"/>
      <c r="L653" s="437"/>
      <c r="M653" s="437"/>
      <c r="N653" s="437"/>
    </row>
    <row r="654" spans="2:14" ht="12.75">
      <c r="B654" s="437"/>
      <c r="C654" s="437"/>
      <c r="D654" s="437"/>
      <c r="E654" s="437"/>
      <c r="F654" s="437"/>
      <c r="G654" s="437"/>
      <c r="H654" s="437"/>
      <c r="I654" s="437"/>
      <c r="J654" s="437"/>
      <c r="K654" s="437"/>
      <c r="L654" s="437"/>
      <c r="M654" s="437"/>
      <c r="N654" s="437"/>
    </row>
    <row r="655" spans="2:14" ht="12.75">
      <c r="B655" s="437"/>
      <c r="C655" s="437"/>
      <c r="D655" s="437"/>
      <c r="E655" s="437"/>
      <c r="F655" s="437"/>
      <c r="G655" s="437"/>
      <c r="H655" s="437"/>
      <c r="I655" s="437"/>
      <c r="J655" s="437"/>
      <c r="K655" s="437"/>
      <c r="L655" s="437"/>
      <c r="M655" s="437"/>
      <c r="N655" s="437"/>
    </row>
    <row r="656" spans="2:14" ht="12.75">
      <c r="B656" s="437"/>
      <c r="C656" s="437"/>
      <c r="D656" s="437"/>
      <c r="E656" s="437"/>
      <c r="F656" s="437"/>
      <c r="G656" s="437"/>
      <c r="H656" s="437"/>
      <c r="I656" s="437"/>
      <c r="J656" s="437"/>
      <c r="K656" s="437"/>
      <c r="L656" s="437"/>
      <c r="M656" s="437"/>
      <c r="N656" s="437"/>
    </row>
    <row r="657" spans="2:14" ht="12.75">
      <c r="B657" s="437"/>
      <c r="C657" s="437"/>
      <c r="D657" s="437"/>
      <c r="E657" s="437"/>
      <c r="F657" s="437"/>
      <c r="G657" s="437"/>
      <c r="H657" s="437"/>
      <c r="I657" s="437"/>
      <c r="J657" s="437"/>
      <c r="K657" s="437"/>
      <c r="L657" s="437"/>
      <c r="M657" s="437"/>
      <c r="N657" s="437"/>
    </row>
    <row r="658" spans="2:14" ht="12.75">
      <c r="B658" s="437"/>
      <c r="C658" s="437"/>
      <c r="D658" s="437"/>
      <c r="E658" s="437"/>
      <c r="F658" s="437"/>
      <c r="G658" s="437"/>
      <c r="H658" s="437"/>
      <c r="I658" s="437"/>
      <c r="J658" s="437"/>
      <c r="K658" s="437"/>
      <c r="L658" s="437"/>
      <c r="M658" s="437"/>
      <c r="N658" s="437"/>
    </row>
    <row r="659" spans="2:14" ht="12.75">
      <c r="B659" s="437"/>
      <c r="C659" s="437"/>
      <c r="D659" s="437"/>
      <c r="E659" s="437"/>
      <c r="F659" s="437"/>
      <c r="G659" s="437"/>
      <c r="H659" s="437"/>
      <c r="I659" s="437"/>
      <c r="J659" s="437"/>
      <c r="K659" s="437"/>
      <c r="L659" s="437"/>
      <c r="M659" s="437"/>
      <c r="N659" s="437"/>
    </row>
    <row r="660" spans="2:14" ht="12.75">
      <c r="B660" s="437"/>
      <c r="C660" s="437"/>
      <c r="D660" s="437"/>
      <c r="E660" s="437"/>
      <c r="F660" s="437"/>
      <c r="G660" s="437"/>
      <c r="H660" s="437"/>
      <c r="I660" s="437"/>
      <c r="J660" s="437"/>
      <c r="K660" s="437"/>
      <c r="L660" s="437"/>
      <c r="M660" s="437"/>
      <c r="N660" s="437"/>
    </row>
    <row r="661" spans="2:14" ht="12.75">
      <c r="B661" s="437"/>
      <c r="C661" s="437"/>
      <c r="D661" s="437"/>
      <c r="E661" s="437"/>
      <c r="F661" s="437"/>
      <c r="G661" s="437"/>
      <c r="H661" s="437"/>
      <c r="I661" s="437"/>
      <c r="J661" s="437"/>
      <c r="K661" s="437"/>
      <c r="L661" s="437"/>
      <c r="M661" s="437"/>
      <c r="N661" s="437"/>
    </row>
    <row r="662" spans="2:14" ht="12.75">
      <c r="B662" s="437"/>
      <c r="C662" s="437"/>
      <c r="D662" s="437"/>
      <c r="E662" s="437"/>
      <c r="F662" s="437"/>
      <c r="G662" s="437"/>
      <c r="H662" s="437"/>
      <c r="I662" s="437"/>
      <c r="J662" s="437"/>
      <c r="K662" s="437"/>
      <c r="L662" s="437"/>
      <c r="M662" s="437"/>
      <c r="N662" s="437"/>
    </row>
    <row r="663" spans="2:14" ht="12.75">
      <c r="B663" s="437"/>
      <c r="C663" s="437"/>
      <c r="D663" s="437"/>
      <c r="E663" s="437"/>
      <c r="F663" s="437"/>
      <c r="G663" s="437"/>
      <c r="H663" s="437"/>
      <c r="I663" s="437"/>
      <c r="J663" s="437"/>
      <c r="K663" s="437"/>
      <c r="L663" s="437"/>
      <c r="M663" s="437"/>
      <c r="N663" s="437"/>
    </row>
    <row r="664" spans="2:14" ht="12.75">
      <c r="B664" s="437"/>
      <c r="C664" s="437"/>
      <c r="D664" s="437"/>
      <c r="E664" s="437"/>
      <c r="F664" s="437"/>
      <c r="G664" s="437"/>
      <c r="H664" s="437"/>
      <c r="I664" s="437"/>
      <c r="J664" s="437"/>
      <c r="K664" s="437"/>
      <c r="L664" s="437"/>
      <c r="M664" s="437"/>
      <c r="N664" s="437"/>
    </row>
    <row r="665" spans="2:14" ht="12.75">
      <c r="B665" s="437"/>
      <c r="C665" s="437"/>
      <c r="D665" s="437"/>
      <c r="E665" s="437"/>
      <c r="F665" s="437"/>
      <c r="G665" s="437"/>
      <c r="H665" s="437"/>
      <c r="I665" s="437"/>
      <c r="J665" s="437"/>
      <c r="K665" s="437"/>
      <c r="L665" s="437"/>
      <c r="M665" s="437"/>
      <c r="N665" s="437"/>
    </row>
    <row r="666" spans="2:14" ht="12.75">
      <c r="B666" s="437"/>
      <c r="C666" s="437"/>
      <c r="D666" s="437"/>
      <c r="E666" s="437"/>
      <c r="F666" s="437"/>
      <c r="G666" s="437"/>
      <c r="H666" s="437"/>
      <c r="I666" s="437"/>
      <c r="J666" s="437"/>
      <c r="K666" s="437"/>
      <c r="L666" s="437"/>
      <c r="M666" s="437"/>
      <c r="N666" s="437"/>
    </row>
    <row r="667" spans="2:14" ht="12.75">
      <c r="B667" s="437"/>
      <c r="C667" s="437"/>
      <c r="D667" s="437"/>
      <c r="E667" s="437"/>
      <c r="F667" s="437"/>
      <c r="G667" s="437"/>
      <c r="H667" s="437"/>
      <c r="I667" s="437"/>
      <c r="J667" s="437"/>
      <c r="K667" s="437"/>
      <c r="L667" s="437"/>
      <c r="M667" s="437"/>
      <c r="N667" s="437"/>
    </row>
    <row r="668" spans="2:14" ht="12.75">
      <c r="B668" s="437"/>
      <c r="C668" s="437"/>
      <c r="D668" s="437"/>
      <c r="E668" s="437"/>
      <c r="F668" s="437"/>
      <c r="G668" s="437"/>
      <c r="H668" s="437"/>
      <c r="I668" s="437"/>
      <c r="J668" s="437"/>
      <c r="K668" s="437"/>
      <c r="L668" s="437"/>
      <c r="M668" s="437"/>
      <c r="N668" s="437"/>
    </row>
    <row r="669" spans="2:14" ht="12.75">
      <c r="B669" s="437"/>
      <c r="C669" s="437"/>
      <c r="D669" s="437"/>
      <c r="E669" s="437"/>
      <c r="F669" s="437"/>
      <c r="G669" s="437"/>
      <c r="H669" s="437"/>
      <c r="I669" s="437"/>
      <c r="J669" s="437"/>
      <c r="K669" s="437"/>
      <c r="L669" s="437"/>
      <c r="M669" s="437"/>
      <c r="N669" s="437"/>
    </row>
    <row r="670" spans="2:14" ht="12.75">
      <c r="B670" s="437"/>
      <c r="C670" s="437"/>
      <c r="D670" s="437"/>
      <c r="E670" s="437"/>
      <c r="F670" s="437"/>
      <c r="G670" s="437"/>
      <c r="H670" s="437"/>
      <c r="I670" s="437"/>
      <c r="J670" s="437"/>
      <c r="K670" s="437"/>
      <c r="L670" s="437"/>
      <c r="M670" s="437"/>
      <c r="N670" s="437"/>
    </row>
    <row r="671" spans="2:14" ht="12.75">
      <c r="B671" s="437"/>
      <c r="C671" s="437"/>
      <c r="D671" s="437"/>
      <c r="E671" s="437"/>
      <c r="F671" s="437"/>
      <c r="G671" s="437"/>
      <c r="H671" s="437"/>
      <c r="I671" s="437"/>
      <c r="J671" s="437"/>
      <c r="K671" s="437"/>
      <c r="L671" s="437"/>
      <c r="M671" s="437"/>
      <c r="N671" s="437"/>
    </row>
    <row r="672" spans="2:14" ht="12.75">
      <c r="B672" s="437"/>
      <c r="C672" s="437"/>
      <c r="D672" s="437"/>
      <c r="E672" s="437"/>
      <c r="F672" s="437"/>
      <c r="G672" s="437"/>
      <c r="H672" s="437"/>
      <c r="I672" s="437"/>
      <c r="J672" s="437"/>
      <c r="K672" s="437"/>
      <c r="L672" s="437"/>
      <c r="M672" s="437"/>
      <c r="N672" s="437"/>
    </row>
    <row r="673" spans="2:14" ht="12.75">
      <c r="B673" s="437"/>
      <c r="C673" s="437"/>
      <c r="D673" s="437"/>
      <c r="E673" s="437"/>
      <c r="F673" s="437"/>
      <c r="G673" s="437"/>
      <c r="H673" s="437"/>
      <c r="I673" s="437"/>
      <c r="J673" s="437"/>
      <c r="K673" s="437"/>
      <c r="L673" s="437"/>
      <c r="M673" s="437"/>
      <c r="N673" s="437"/>
    </row>
    <row r="674" spans="2:14" ht="12.75">
      <c r="B674" s="437"/>
      <c r="C674" s="437"/>
      <c r="D674" s="437"/>
      <c r="E674" s="437"/>
      <c r="F674" s="437"/>
      <c r="G674" s="437"/>
      <c r="H674" s="437"/>
      <c r="I674" s="437"/>
      <c r="J674" s="437"/>
      <c r="K674" s="437"/>
      <c r="L674" s="437"/>
      <c r="M674" s="437"/>
      <c r="N674" s="437"/>
    </row>
    <row r="675" spans="2:14" ht="12.75">
      <c r="B675" s="437"/>
      <c r="C675" s="437"/>
      <c r="D675" s="437"/>
      <c r="E675" s="437"/>
      <c r="F675" s="437"/>
      <c r="G675" s="437"/>
      <c r="H675" s="437"/>
      <c r="I675" s="437"/>
      <c r="J675" s="437"/>
      <c r="K675" s="437"/>
      <c r="L675" s="437"/>
      <c r="M675" s="437"/>
      <c r="N675" s="437"/>
    </row>
    <row r="676" spans="2:14" ht="12.75">
      <c r="B676" s="437"/>
      <c r="C676" s="437"/>
      <c r="D676" s="437"/>
      <c r="E676" s="437"/>
      <c r="F676" s="437"/>
      <c r="G676" s="437"/>
      <c r="H676" s="437"/>
      <c r="I676" s="437"/>
      <c r="J676" s="437"/>
      <c r="K676" s="437"/>
      <c r="L676" s="437"/>
      <c r="M676" s="437"/>
      <c r="N676" s="437"/>
    </row>
    <row r="677" spans="2:14" ht="12.75">
      <c r="B677" s="437"/>
      <c r="C677" s="437"/>
      <c r="D677" s="437"/>
      <c r="E677" s="437"/>
      <c r="F677" s="437"/>
      <c r="G677" s="437"/>
      <c r="H677" s="437"/>
      <c r="I677" s="437"/>
      <c r="J677" s="437"/>
      <c r="K677" s="437"/>
      <c r="L677" s="437"/>
      <c r="M677" s="437"/>
      <c r="N677" s="437"/>
    </row>
    <row r="678" spans="2:14" ht="12.75">
      <c r="B678" s="437"/>
      <c r="C678" s="437"/>
      <c r="D678" s="437"/>
      <c r="E678" s="437"/>
      <c r="F678" s="437"/>
      <c r="G678" s="437"/>
      <c r="H678" s="437"/>
      <c r="I678" s="437"/>
      <c r="J678" s="437"/>
      <c r="K678" s="437"/>
      <c r="L678" s="437"/>
      <c r="M678" s="437"/>
      <c r="N678" s="437"/>
    </row>
    <row r="679" spans="2:14" ht="12.75">
      <c r="B679" s="437"/>
      <c r="C679" s="437"/>
      <c r="D679" s="437"/>
      <c r="E679" s="437"/>
      <c r="F679" s="437"/>
      <c r="G679" s="437"/>
      <c r="H679" s="437"/>
      <c r="I679" s="437"/>
      <c r="J679" s="437"/>
      <c r="K679" s="437"/>
      <c r="L679" s="437"/>
      <c r="M679" s="437"/>
      <c r="N679" s="437"/>
    </row>
    <row r="680" spans="2:14" ht="12.75">
      <c r="B680" s="437"/>
      <c r="C680" s="437"/>
      <c r="D680" s="437"/>
      <c r="E680" s="437"/>
      <c r="F680" s="437"/>
      <c r="G680" s="437"/>
      <c r="H680" s="437"/>
      <c r="I680" s="437"/>
      <c r="J680" s="437"/>
      <c r="K680" s="437"/>
      <c r="L680" s="437"/>
      <c r="M680" s="437"/>
      <c r="N680" s="437"/>
    </row>
    <row r="681" spans="2:14" ht="12.75">
      <c r="B681" s="437"/>
      <c r="C681" s="437"/>
      <c r="D681" s="437"/>
      <c r="E681" s="437"/>
      <c r="F681" s="437"/>
      <c r="G681" s="437"/>
      <c r="H681" s="437"/>
      <c r="I681" s="437"/>
      <c r="J681" s="437"/>
      <c r="K681" s="437"/>
      <c r="L681" s="437"/>
      <c r="M681" s="437"/>
      <c r="N681" s="437"/>
    </row>
    <row r="682" spans="2:14" ht="12.75">
      <c r="B682" s="437"/>
      <c r="C682" s="437"/>
      <c r="D682" s="437"/>
      <c r="E682" s="437"/>
      <c r="F682" s="437"/>
      <c r="G682" s="437"/>
      <c r="H682" s="437"/>
      <c r="I682" s="437"/>
      <c r="J682" s="437"/>
      <c r="K682" s="437"/>
      <c r="L682" s="437"/>
      <c r="M682" s="437"/>
      <c r="N682" s="437"/>
    </row>
    <row r="683" spans="2:14" ht="12.75">
      <c r="B683" s="437"/>
      <c r="C683" s="437"/>
      <c r="D683" s="437"/>
      <c r="E683" s="437"/>
      <c r="F683" s="437"/>
      <c r="G683" s="437"/>
      <c r="H683" s="437"/>
      <c r="I683" s="437"/>
      <c r="J683" s="437"/>
      <c r="K683" s="437"/>
      <c r="L683" s="437"/>
      <c r="M683" s="437"/>
      <c r="N683" s="437"/>
    </row>
    <row r="684" spans="2:14" ht="12.75">
      <c r="B684" s="437"/>
      <c r="C684" s="437"/>
      <c r="D684" s="437"/>
      <c r="E684" s="437"/>
      <c r="F684" s="437"/>
      <c r="G684" s="437"/>
      <c r="H684" s="437"/>
      <c r="I684" s="437"/>
      <c r="J684" s="437"/>
      <c r="K684" s="437"/>
      <c r="L684" s="437"/>
      <c r="M684" s="437"/>
      <c r="N684" s="437"/>
    </row>
    <row r="685" spans="2:14" ht="12.75">
      <c r="B685" s="437"/>
      <c r="C685" s="437"/>
      <c r="D685" s="437"/>
      <c r="E685" s="437"/>
      <c r="F685" s="437"/>
      <c r="G685" s="437"/>
      <c r="H685" s="437"/>
      <c r="I685" s="437"/>
      <c r="J685" s="437"/>
      <c r="K685" s="437"/>
      <c r="L685" s="437"/>
      <c r="M685" s="437"/>
      <c r="N685" s="437"/>
    </row>
    <row r="686" spans="2:14" ht="12.75">
      <c r="B686" s="437"/>
      <c r="C686" s="437"/>
      <c r="D686" s="437"/>
      <c r="E686" s="437"/>
      <c r="F686" s="437"/>
      <c r="G686" s="437"/>
      <c r="H686" s="437"/>
      <c r="I686" s="437"/>
      <c r="J686" s="437"/>
      <c r="K686" s="437"/>
      <c r="L686" s="437"/>
      <c r="M686" s="437"/>
      <c r="N686" s="437"/>
    </row>
    <row r="687" spans="2:14" ht="12.75">
      <c r="B687" s="437"/>
      <c r="C687" s="437"/>
      <c r="D687" s="437"/>
      <c r="E687" s="437"/>
      <c r="F687" s="437"/>
      <c r="G687" s="437"/>
      <c r="H687" s="437"/>
      <c r="I687" s="437"/>
      <c r="J687" s="437"/>
      <c r="K687" s="437"/>
      <c r="L687" s="437"/>
      <c r="M687" s="437"/>
      <c r="N687" s="437"/>
    </row>
    <row r="688" spans="2:14" ht="12.75">
      <c r="B688" s="437"/>
      <c r="C688" s="437"/>
      <c r="D688" s="437"/>
      <c r="E688" s="437"/>
      <c r="F688" s="437"/>
      <c r="G688" s="437"/>
      <c r="H688" s="437"/>
      <c r="I688" s="437"/>
      <c r="J688" s="437"/>
      <c r="K688" s="437"/>
      <c r="L688" s="437"/>
      <c r="M688" s="437"/>
      <c r="N688" s="437"/>
    </row>
    <row r="689" spans="2:14" ht="12.75">
      <c r="B689" s="437"/>
      <c r="C689" s="437"/>
      <c r="D689" s="437"/>
      <c r="E689" s="437"/>
      <c r="F689" s="437"/>
      <c r="G689" s="437"/>
      <c r="H689" s="437"/>
      <c r="I689" s="437"/>
      <c r="J689" s="437"/>
      <c r="K689" s="437"/>
      <c r="L689" s="437"/>
      <c r="M689" s="437"/>
      <c r="N689" s="437"/>
    </row>
    <row r="690" spans="2:14" ht="12.75">
      <c r="B690" s="437"/>
      <c r="C690" s="437"/>
      <c r="D690" s="437"/>
      <c r="E690" s="437"/>
      <c r="F690" s="437"/>
      <c r="G690" s="437"/>
      <c r="H690" s="437"/>
      <c r="I690" s="437"/>
      <c r="J690" s="437"/>
      <c r="K690" s="437"/>
      <c r="L690" s="437"/>
      <c r="M690" s="437"/>
      <c r="N690" s="437"/>
    </row>
    <row r="691" spans="2:14" ht="12.75">
      <c r="B691" s="437"/>
      <c r="C691" s="437"/>
      <c r="D691" s="437"/>
      <c r="E691" s="437"/>
      <c r="F691" s="437"/>
      <c r="G691" s="437"/>
      <c r="H691" s="437"/>
      <c r="I691" s="437"/>
      <c r="J691" s="437"/>
      <c r="K691" s="437"/>
      <c r="L691" s="437"/>
      <c r="M691" s="437"/>
      <c r="N691" s="437"/>
    </row>
    <row r="692" spans="2:14" ht="12.75">
      <c r="B692" s="437"/>
      <c r="C692" s="437"/>
      <c r="D692" s="437"/>
      <c r="E692" s="437"/>
      <c r="F692" s="437"/>
      <c r="G692" s="437"/>
      <c r="H692" s="437"/>
      <c r="I692" s="437"/>
      <c r="J692" s="437"/>
      <c r="K692" s="437"/>
      <c r="L692" s="437"/>
      <c r="M692" s="437"/>
      <c r="N692" s="437"/>
    </row>
    <row r="693" spans="2:14" ht="12.75">
      <c r="B693" s="437"/>
      <c r="C693" s="437"/>
      <c r="D693" s="437"/>
      <c r="E693" s="437"/>
      <c r="F693" s="437"/>
      <c r="G693" s="437"/>
      <c r="H693" s="437"/>
      <c r="I693" s="437"/>
      <c r="J693" s="437"/>
      <c r="K693" s="437"/>
      <c r="L693" s="437"/>
      <c r="M693" s="437"/>
      <c r="N693" s="437"/>
    </row>
    <row r="694" spans="2:14" ht="12.75">
      <c r="B694" s="437"/>
      <c r="C694" s="437"/>
      <c r="D694" s="437"/>
      <c r="E694" s="437"/>
      <c r="F694" s="437"/>
      <c r="G694" s="437"/>
      <c r="H694" s="437"/>
      <c r="I694" s="437"/>
      <c r="J694" s="437"/>
      <c r="K694" s="437"/>
      <c r="L694" s="437"/>
      <c r="M694" s="437"/>
      <c r="N694" s="437"/>
    </row>
    <row r="695" spans="2:14" ht="12.75">
      <c r="B695" s="437"/>
      <c r="C695" s="437"/>
      <c r="D695" s="437"/>
      <c r="E695" s="437"/>
      <c r="F695" s="437"/>
      <c r="G695" s="437"/>
      <c r="H695" s="437"/>
      <c r="I695" s="437"/>
      <c r="J695" s="437"/>
      <c r="K695" s="437"/>
      <c r="L695" s="437"/>
      <c r="M695" s="437"/>
      <c r="N695" s="437"/>
    </row>
    <row r="696" spans="2:14" ht="12.75">
      <c r="B696" s="437"/>
      <c r="C696" s="437"/>
      <c r="D696" s="437"/>
      <c r="E696" s="437"/>
      <c r="F696" s="437"/>
      <c r="G696" s="437"/>
      <c r="H696" s="437"/>
      <c r="I696" s="437"/>
      <c r="J696" s="437"/>
      <c r="K696" s="437"/>
      <c r="L696" s="437"/>
      <c r="M696" s="437"/>
      <c r="N696" s="437"/>
    </row>
    <row r="697" spans="2:14" ht="12.75">
      <c r="B697" s="437"/>
      <c r="C697" s="437"/>
      <c r="D697" s="437"/>
      <c r="E697" s="437"/>
      <c r="F697" s="437"/>
      <c r="G697" s="437"/>
      <c r="H697" s="437"/>
      <c r="I697" s="437"/>
      <c r="J697" s="437"/>
      <c r="K697" s="437"/>
      <c r="L697" s="437"/>
      <c r="M697" s="437"/>
      <c r="N697" s="437"/>
    </row>
    <row r="698" spans="2:14" ht="12.75">
      <c r="B698" s="437"/>
      <c r="C698" s="437"/>
      <c r="D698" s="437"/>
      <c r="E698" s="437"/>
      <c r="F698" s="437"/>
      <c r="G698" s="437"/>
      <c r="H698" s="437"/>
      <c r="I698" s="437"/>
      <c r="J698" s="437"/>
      <c r="K698" s="437"/>
      <c r="L698" s="437"/>
      <c r="M698" s="437"/>
      <c r="N698" s="437"/>
    </row>
    <row r="699" spans="2:14" ht="12.75">
      <c r="B699" s="437"/>
      <c r="C699" s="437"/>
      <c r="D699" s="437"/>
      <c r="E699" s="437"/>
      <c r="F699" s="437"/>
      <c r="G699" s="437"/>
      <c r="H699" s="437"/>
      <c r="I699" s="437"/>
      <c r="J699" s="437"/>
      <c r="K699" s="437"/>
      <c r="L699" s="437"/>
      <c r="M699" s="437"/>
      <c r="N699" s="437"/>
    </row>
    <row r="700" spans="2:14" ht="12.75">
      <c r="B700" s="437"/>
      <c r="C700" s="437"/>
      <c r="D700" s="437"/>
      <c r="E700" s="437"/>
      <c r="F700" s="437"/>
      <c r="G700" s="437"/>
      <c r="H700" s="437"/>
      <c r="I700" s="437"/>
      <c r="J700" s="437"/>
      <c r="K700" s="437"/>
      <c r="L700" s="437"/>
      <c r="M700" s="437"/>
      <c r="N700" s="437"/>
    </row>
    <row r="701" spans="2:14" ht="12.75">
      <c r="B701" s="437"/>
      <c r="C701" s="437"/>
      <c r="D701" s="437"/>
      <c r="E701" s="437"/>
      <c r="F701" s="437"/>
      <c r="G701" s="437"/>
      <c r="H701" s="437"/>
      <c r="I701" s="437"/>
      <c r="J701" s="437"/>
      <c r="K701" s="437"/>
      <c r="L701" s="437"/>
      <c r="M701" s="437"/>
      <c r="N701" s="437"/>
    </row>
    <row r="702" spans="2:14" ht="12.75">
      <c r="B702" s="437"/>
      <c r="C702" s="437"/>
      <c r="D702" s="437"/>
      <c r="E702" s="437"/>
      <c r="F702" s="437"/>
      <c r="G702" s="437"/>
      <c r="H702" s="437"/>
      <c r="I702" s="437"/>
      <c r="J702" s="437"/>
      <c r="K702" s="437"/>
      <c r="L702" s="437"/>
      <c r="M702" s="437"/>
      <c r="N702" s="437"/>
    </row>
    <row r="703" spans="2:14" ht="12.75">
      <c r="B703" s="437"/>
      <c r="C703" s="437"/>
      <c r="D703" s="437"/>
      <c r="E703" s="437"/>
      <c r="F703" s="437"/>
      <c r="G703" s="437"/>
      <c r="H703" s="437"/>
      <c r="I703" s="437"/>
      <c r="J703" s="437"/>
      <c r="K703" s="437"/>
      <c r="L703" s="437"/>
      <c r="M703" s="437"/>
      <c r="N703" s="437"/>
    </row>
    <row r="704" spans="2:14" ht="12.75">
      <c r="B704" s="437"/>
      <c r="C704" s="437"/>
      <c r="D704" s="437"/>
      <c r="E704" s="437"/>
      <c r="F704" s="437"/>
      <c r="G704" s="437"/>
      <c r="H704" s="437"/>
      <c r="I704" s="437"/>
      <c r="J704" s="437"/>
      <c r="K704" s="437"/>
      <c r="L704" s="437"/>
      <c r="M704" s="437"/>
      <c r="N704" s="437"/>
    </row>
    <row r="705" spans="2:14" ht="12.75">
      <c r="B705" s="437"/>
      <c r="C705" s="437"/>
      <c r="D705" s="437"/>
      <c r="E705" s="437"/>
      <c r="F705" s="437"/>
      <c r="G705" s="437"/>
      <c r="H705" s="437"/>
      <c r="I705" s="437"/>
      <c r="J705" s="437"/>
      <c r="K705" s="437"/>
      <c r="L705" s="437"/>
      <c r="M705" s="437"/>
      <c r="N705" s="437"/>
    </row>
    <row r="706" spans="2:14" ht="12.75">
      <c r="B706" s="437"/>
      <c r="C706" s="437"/>
      <c r="D706" s="437"/>
      <c r="E706" s="437"/>
      <c r="F706" s="437"/>
      <c r="G706" s="437"/>
      <c r="H706" s="437"/>
      <c r="I706" s="437"/>
      <c r="J706" s="437"/>
      <c r="K706" s="437"/>
      <c r="L706" s="437"/>
      <c r="M706" s="437"/>
      <c r="N706" s="437"/>
    </row>
    <row r="707" spans="2:14" ht="12.75">
      <c r="B707" s="437"/>
      <c r="C707" s="437"/>
      <c r="D707" s="437"/>
      <c r="E707" s="437"/>
      <c r="F707" s="437"/>
      <c r="G707" s="437"/>
      <c r="H707" s="437"/>
      <c r="I707" s="437"/>
      <c r="J707" s="437"/>
      <c r="K707" s="437"/>
      <c r="L707" s="437"/>
      <c r="M707" s="437"/>
      <c r="N707" s="437"/>
    </row>
    <row r="708" spans="2:14" ht="12.75">
      <c r="B708" s="437"/>
      <c r="C708" s="437"/>
      <c r="D708" s="437"/>
      <c r="E708" s="437"/>
      <c r="F708" s="437"/>
      <c r="G708" s="437"/>
      <c r="H708" s="437"/>
      <c r="I708" s="437"/>
      <c r="J708" s="437"/>
      <c r="K708" s="437"/>
      <c r="L708" s="437"/>
      <c r="M708" s="437"/>
      <c r="N708" s="437"/>
    </row>
    <row r="709" spans="2:14" ht="12.75">
      <c r="B709" s="437"/>
      <c r="C709" s="437"/>
      <c r="D709" s="437"/>
      <c r="E709" s="437"/>
      <c r="F709" s="437"/>
      <c r="G709" s="437"/>
      <c r="H709" s="437"/>
      <c r="I709" s="437"/>
      <c r="J709" s="437"/>
      <c r="K709" s="437"/>
      <c r="L709" s="437"/>
      <c r="M709" s="437"/>
      <c r="N709" s="437"/>
    </row>
    <row r="710" spans="2:14" ht="12.75">
      <c r="B710" s="437"/>
      <c r="C710" s="437"/>
      <c r="D710" s="437"/>
      <c r="E710" s="437"/>
      <c r="F710" s="437"/>
      <c r="G710" s="437"/>
      <c r="H710" s="437"/>
      <c r="I710" s="437"/>
      <c r="J710" s="437"/>
      <c r="K710" s="437"/>
      <c r="L710" s="437"/>
      <c r="M710" s="437"/>
      <c r="N710" s="437"/>
    </row>
    <row r="711" spans="2:14" ht="12.75">
      <c r="B711" s="437"/>
      <c r="C711" s="437"/>
      <c r="D711" s="437"/>
      <c r="E711" s="437"/>
      <c r="F711" s="437"/>
      <c r="G711" s="437"/>
      <c r="H711" s="437"/>
      <c r="I711" s="437"/>
      <c r="J711" s="437"/>
      <c r="K711" s="437"/>
      <c r="L711" s="437"/>
      <c r="M711" s="437"/>
      <c r="N711" s="437"/>
    </row>
    <row r="712" spans="2:14" ht="12.75">
      <c r="B712" s="437"/>
      <c r="C712" s="437"/>
      <c r="D712" s="437"/>
      <c r="E712" s="437"/>
      <c r="F712" s="437"/>
      <c r="G712" s="437"/>
      <c r="H712" s="437"/>
      <c r="I712" s="437"/>
      <c r="J712" s="437"/>
      <c r="K712" s="437"/>
      <c r="L712" s="437"/>
      <c r="M712" s="437"/>
      <c r="N712" s="437"/>
    </row>
    <row r="713" spans="2:14" ht="12.75">
      <c r="B713" s="437"/>
      <c r="C713" s="437"/>
      <c r="D713" s="437"/>
      <c r="E713" s="437"/>
      <c r="F713" s="437"/>
      <c r="G713" s="437"/>
      <c r="H713" s="437"/>
      <c r="I713" s="437"/>
      <c r="J713" s="437"/>
      <c r="K713" s="437"/>
      <c r="L713" s="437"/>
      <c r="M713" s="437"/>
      <c r="N713" s="437"/>
    </row>
    <row r="714" spans="2:14" ht="12.75">
      <c r="B714" s="437"/>
      <c r="C714" s="437"/>
      <c r="D714" s="437"/>
      <c r="E714" s="437"/>
      <c r="F714" s="437"/>
      <c r="G714" s="437"/>
      <c r="H714" s="437"/>
      <c r="I714" s="437"/>
      <c r="J714" s="437"/>
      <c r="K714" s="437"/>
      <c r="L714" s="437"/>
      <c r="M714" s="437"/>
      <c r="N714" s="437"/>
    </row>
    <row r="715" spans="2:14" ht="12.75">
      <c r="B715" s="437"/>
      <c r="C715" s="437"/>
      <c r="D715" s="437"/>
      <c r="E715" s="437"/>
      <c r="F715" s="437"/>
      <c r="G715" s="437"/>
      <c r="H715" s="437"/>
      <c r="I715" s="437"/>
      <c r="J715" s="437"/>
      <c r="K715" s="437"/>
      <c r="L715" s="437"/>
      <c r="M715" s="437"/>
      <c r="N715" s="437"/>
    </row>
    <row r="716" spans="2:14" ht="12.75">
      <c r="B716" s="437"/>
      <c r="C716" s="437"/>
      <c r="D716" s="437"/>
      <c r="E716" s="437"/>
      <c r="F716" s="437"/>
      <c r="G716" s="437"/>
      <c r="H716" s="437"/>
      <c r="I716" s="437"/>
      <c r="J716" s="437"/>
      <c r="K716" s="437"/>
      <c r="L716" s="437"/>
      <c r="M716" s="437"/>
      <c r="N716" s="437"/>
    </row>
    <row r="717" spans="2:14" ht="12.75">
      <c r="B717" s="437"/>
      <c r="C717" s="437"/>
      <c r="D717" s="437"/>
      <c r="E717" s="437"/>
      <c r="F717" s="437"/>
      <c r="G717" s="437"/>
      <c r="H717" s="437"/>
      <c r="I717" s="437"/>
      <c r="J717" s="437"/>
      <c r="K717" s="437"/>
      <c r="L717" s="437"/>
      <c r="M717" s="437"/>
      <c r="N717" s="437"/>
    </row>
    <row r="718" spans="2:14" ht="12.75">
      <c r="B718" s="437"/>
      <c r="C718" s="437"/>
      <c r="D718" s="437"/>
      <c r="E718" s="437"/>
      <c r="F718" s="437"/>
      <c r="G718" s="437"/>
      <c r="H718" s="437"/>
      <c r="I718" s="437"/>
      <c r="J718" s="437"/>
      <c r="K718" s="437"/>
      <c r="L718" s="437"/>
      <c r="M718" s="437"/>
      <c r="N718" s="437"/>
    </row>
    <row r="719" spans="2:14" ht="12.75">
      <c r="B719" s="437"/>
      <c r="C719" s="437"/>
      <c r="D719" s="437"/>
      <c r="E719" s="437"/>
      <c r="F719" s="437"/>
      <c r="G719" s="437"/>
      <c r="H719" s="437"/>
      <c r="I719" s="437"/>
      <c r="J719" s="437"/>
      <c r="K719" s="437"/>
      <c r="L719" s="437"/>
      <c r="M719" s="437"/>
      <c r="N719" s="437"/>
    </row>
    <row r="720" spans="2:14" ht="12.75">
      <c r="B720" s="437"/>
      <c r="C720" s="437"/>
      <c r="D720" s="437"/>
      <c r="E720" s="437"/>
      <c r="F720" s="437"/>
      <c r="G720" s="437"/>
      <c r="H720" s="437"/>
      <c r="I720" s="437"/>
      <c r="J720" s="437"/>
      <c r="K720" s="437"/>
      <c r="L720" s="437"/>
      <c r="M720" s="437"/>
      <c r="N720" s="437"/>
    </row>
    <row r="721" spans="2:14" ht="12.75">
      <c r="B721" s="437"/>
      <c r="C721" s="437"/>
      <c r="D721" s="437"/>
      <c r="E721" s="437"/>
      <c r="F721" s="437"/>
      <c r="G721" s="437"/>
      <c r="H721" s="437"/>
      <c r="I721" s="437"/>
      <c r="J721" s="437"/>
      <c r="K721" s="437"/>
      <c r="L721" s="437"/>
      <c r="M721" s="437"/>
      <c r="N721" s="437"/>
    </row>
    <row r="722" spans="2:14" ht="12.75">
      <c r="B722" s="437"/>
      <c r="C722" s="437"/>
      <c r="D722" s="437"/>
      <c r="E722" s="437"/>
      <c r="F722" s="437"/>
      <c r="G722" s="437"/>
      <c r="H722" s="437"/>
      <c r="I722" s="437"/>
      <c r="J722" s="437"/>
      <c r="K722" s="437"/>
      <c r="L722" s="437"/>
      <c r="M722" s="437"/>
      <c r="N722" s="437"/>
    </row>
    <row r="723" spans="2:14" ht="12.75">
      <c r="B723" s="437"/>
      <c r="C723" s="437"/>
      <c r="D723" s="437"/>
      <c r="E723" s="437"/>
      <c r="F723" s="437"/>
      <c r="G723" s="437"/>
      <c r="H723" s="437"/>
      <c r="I723" s="437"/>
      <c r="J723" s="437"/>
      <c r="K723" s="437"/>
      <c r="L723" s="437"/>
      <c r="M723" s="437"/>
      <c r="N723" s="437"/>
    </row>
    <row r="724" spans="2:14" ht="12.75">
      <c r="B724" s="437"/>
      <c r="C724" s="437"/>
      <c r="D724" s="437"/>
      <c r="E724" s="437"/>
      <c r="F724" s="437"/>
      <c r="G724" s="437"/>
      <c r="H724" s="437"/>
      <c r="I724" s="437"/>
      <c r="J724" s="437"/>
      <c r="K724" s="437"/>
      <c r="L724" s="437"/>
      <c r="M724" s="437"/>
      <c r="N724" s="437"/>
    </row>
    <row r="725" spans="2:14" ht="12.75">
      <c r="B725" s="437"/>
      <c r="C725" s="437"/>
      <c r="D725" s="437"/>
      <c r="E725" s="437"/>
      <c r="F725" s="437"/>
      <c r="G725" s="437"/>
      <c r="H725" s="437"/>
      <c r="I725" s="437"/>
      <c r="J725" s="437"/>
      <c r="K725" s="437"/>
      <c r="L725" s="437"/>
      <c r="M725" s="437"/>
      <c r="N725" s="437"/>
    </row>
    <row r="726" spans="2:14" ht="12.75">
      <c r="B726" s="437"/>
      <c r="C726" s="437"/>
      <c r="D726" s="437"/>
      <c r="E726" s="437"/>
      <c r="F726" s="437"/>
      <c r="G726" s="437"/>
      <c r="H726" s="437"/>
      <c r="I726" s="437"/>
      <c r="J726" s="437"/>
      <c r="K726" s="437"/>
      <c r="L726" s="437"/>
      <c r="M726" s="437"/>
      <c r="N726" s="437"/>
    </row>
    <row r="727" spans="2:14" ht="12.75">
      <c r="B727" s="437"/>
      <c r="C727" s="437"/>
      <c r="D727" s="437"/>
      <c r="E727" s="437"/>
      <c r="F727" s="437"/>
      <c r="G727" s="437"/>
      <c r="H727" s="437"/>
      <c r="I727" s="437"/>
      <c r="J727" s="437"/>
      <c r="K727" s="437"/>
      <c r="L727" s="437"/>
      <c r="M727" s="437"/>
      <c r="N727" s="437"/>
    </row>
    <row r="728" spans="2:14" ht="12.75">
      <c r="B728" s="437"/>
      <c r="C728" s="437"/>
      <c r="D728" s="437"/>
      <c r="E728" s="437"/>
      <c r="F728" s="437"/>
      <c r="G728" s="437"/>
      <c r="H728" s="437"/>
      <c r="I728" s="437"/>
      <c r="J728" s="437"/>
      <c r="K728" s="437"/>
      <c r="L728" s="437"/>
      <c r="M728" s="437"/>
      <c r="N728" s="437"/>
    </row>
    <row r="729" spans="2:14" ht="12.75">
      <c r="B729" s="437"/>
      <c r="C729" s="437"/>
      <c r="D729" s="437"/>
      <c r="E729" s="437"/>
      <c r="F729" s="437"/>
      <c r="G729" s="437"/>
      <c r="H729" s="437"/>
      <c r="I729" s="437"/>
      <c r="J729" s="437"/>
      <c r="K729" s="437"/>
      <c r="L729" s="437"/>
      <c r="M729" s="437"/>
      <c r="N729" s="437"/>
    </row>
    <row r="730" spans="2:14" ht="12.75">
      <c r="B730" s="437"/>
      <c r="C730" s="437"/>
      <c r="D730" s="437"/>
      <c r="E730" s="437"/>
      <c r="F730" s="437"/>
      <c r="G730" s="437"/>
      <c r="H730" s="437"/>
      <c r="I730" s="437"/>
      <c r="J730" s="437"/>
      <c r="K730" s="437"/>
      <c r="L730" s="437"/>
      <c r="M730" s="437"/>
      <c r="N730" s="437"/>
    </row>
    <row r="731" spans="2:14" ht="12.75">
      <c r="B731" s="437"/>
      <c r="C731" s="437"/>
      <c r="D731" s="437"/>
      <c r="E731" s="437"/>
      <c r="F731" s="437"/>
      <c r="G731" s="437"/>
      <c r="H731" s="437"/>
      <c r="I731" s="437"/>
      <c r="J731" s="437"/>
      <c r="K731" s="437"/>
      <c r="L731" s="437"/>
      <c r="M731" s="437"/>
      <c r="N731" s="437"/>
    </row>
    <row r="732" spans="2:14" ht="12.75">
      <c r="B732" s="437"/>
      <c r="C732" s="437"/>
      <c r="D732" s="437"/>
      <c r="E732" s="437"/>
      <c r="F732" s="437"/>
      <c r="G732" s="437"/>
      <c r="H732" s="437"/>
      <c r="I732" s="437"/>
      <c r="J732" s="437"/>
      <c r="K732" s="437"/>
      <c r="L732" s="437"/>
      <c r="M732" s="437"/>
      <c r="N732" s="437"/>
    </row>
    <row r="733" spans="2:14" ht="12.75">
      <c r="B733" s="437"/>
      <c r="C733" s="437"/>
      <c r="D733" s="437"/>
      <c r="E733" s="437"/>
      <c r="F733" s="437"/>
      <c r="G733" s="437"/>
      <c r="H733" s="437"/>
      <c r="I733" s="437"/>
      <c r="J733" s="437"/>
      <c r="K733" s="437"/>
      <c r="L733" s="437"/>
      <c r="M733" s="437"/>
      <c r="N733" s="437"/>
    </row>
    <row r="734" spans="2:14" ht="12.75">
      <c r="B734" s="437"/>
      <c r="C734" s="437"/>
      <c r="D734" s="437"/>
      <c r="E734" s="437"/>
      <c r="F734" s="437"/>
      <c r="G734" s="437"/>
      <c r="H734" s="437"/>
      <c r="I734" s="437"/>
      <c r="J734" s="437"/>
      <c r="K734" s="437"/>
      <c r="L734" s="437"/>
      <c r="M734" s="437"/>
      <c r="N734" s="437"/>
    </row>
    <row r="735" spans="2:14" ht="12.75">
      <c r="B735" s="437"/>
      <c r="C735" s="437"/>
      <c r="D735" s="437"/>
      <c r="E735" s="437"/>
      <c r="F735" s="437"/>
      <c r="G735" s="437"/>
      <c r="H735" s="437"/>
      <c r="I735" s="437"/>
      <c r="J735" s="437"/>
      <c r="K735" s="437"/>
      <c r="L735" s="437"/>
      <c r="M735" s="437"/>
      <c r="N735" s="437"/>
    </row>
    <row r="736" spans="2:14" ht="12.75">
      <c r="B736" s="437"/>
      <c r="C736" s="437"/>
      <c r="D736" s="437"/>
      <c r="E736" s="437"/>
      <c r="F736" s="437"/>
      <c r="G736" s="437"/>
      <c r="H736" s="437"/>
      <c r="I736" s="437"/>
      <c r="J736" s="437"/>
      <c r="K736" s="437"/>
      <c r="L736" s="437"/>
      <c r="M736" s="437"/>
      <c r="N736" s="437"/>
    </row>
    <row r="737" spans="2:14" ht="12.75">
      <c r="B737" s="437"/>
      <c r="C737" s="437"/>
      <c r="D737" s="437"/>
      <c r="E737" s="437"/>
      <c r="F737" s="437"/>
      <c r="G737" s="437"/>
      <c r="H737" s="437"/>
      <c r="I737" s="437"/>
      <c r="J737" s="437"/>
      <c r="K737" s="437"/>
      <c r="L737" s="437"/>
      <c r="M737" s="437"/>
      <c r="N737" s="437"/>
    </row>
    <row r="738" spans="2:14" ht="12.75">
      <c r="B738" s="437"/>
      <c r="C738" s="437"/>
      <c r="D738" s="437"/>
      <c r="E738" s="437"/>
      <c r="F738" s="437"/>
      <c r="G738" s="437"/>
      <c r="H738" s="437"/>
      <c r="I738" s="437"/>
      <c r="J738" s="437"/>
      <c r="K738" s="437"/>
      <c r="L738" s="437"/>
      <c r="M738" s="437"/>
      <c r="N738" s="437"/>
    </row>
    <row r="739" spans="2:14" ht="12.75">
      <c r="B739" s="437"/>
      <c r="C739" s="437"/>
      <c r="D739" s="437"/>
      <c r="E739" s="437"/>
      <c r="F739" s="437"/>
      <c r="G739" s="437"/>
      <c r="H739" s="437"/>
      <c r="I739" s="437"/>
      <c r="J739" s="437"/>
      <c r="K739" s="437"/>
      <c r="L739" s="437"/>
      <c r="M739" s="437"/>
      <c r="N739" s="437"/>
    </row>
    <row r="740" spans="2:14" ht="12.75">
      <c r="B740" s="437"/>
      <c r="C740" s="437"/>
      <c r="D740" s="437"/>
      <c r="E740" s="437"/>
      <c r="F740" s="437"/>
      <c r="G740" s="437"/>
      <c r="H740" s="437"/>
      <c r="I740" s="437"/>
      <c r="J740" s="437"/>
      <c r="K740" s="437"/>
      <c r="L740" s="437"/>
      <c r="M740" s="437"/>
      <c r="N740" s="437"/>
    </row>
    <row r="741" spans="2:14" ht="12.75">
      <c r="B741" s="437"/>
      <c r="C741" s="437"/>
      <c r="D741" s="437"/>
      <c r="E741" s="437"/>
      <c r="F741" s="437"/>
      <c r="G741" s="437"/>
      <c r="H741" s="437"/>
      <c r="I741" s="437"/>
      <c r="J741" s="437"/>
      <c r="K741" s="437"/>
      <c r="L741" s="437"/>
      <c r="M741" s="437"/>
      <c r="N741" s="437"/>
    </row>
    <row r="742" spans="2:14" ht="12.75">
      <c r="B742" s="437"/>
      <c r="C742" s="437"/>
      <c r="D742" s="437"/>
      <c r="E742" s="437"/>
      <c r="F742" s="437"/>
      <c r="G742" s="437"/>
      <c r="H742" s="437"/>
      <c r="I742" s="437"/>
      <c r="J742" s="437"/>
      <c r="K742" s="437"/>
      <c r="L742" s="437"/>
      <c r="M742" s="437"/>
      <c r="N742" s="437"/>
    </row>
    <row r="743" spans="2:14" ht="12.75">
      <c r="B743" s="437"/>
      <c r="C743" s="437"/>
      <c r="D743" s="437"/>
      <c r="E743" s="437"/>
      <c r="F743" s="437"/>
      <c r="G743" s="437"/>
      <c r="H743" s="437"/>
      <c r="I743" s="437"/>
      <c r="J743" s="437"/>
      <c r="K743" s="437"/>
      <c r="L743" s="437"/>
      <c r="M743" s="437"/>
      <c r="N743" s="437"/>
    </row>
    <row r="744" spans="2:14" ht="12.75">
      <c r="B744" s="437"/>
      <c r="C744" s="437"/>
      <c r="D744" s="437"/>
      <c r="E744" s="437"/>
      <c r="F744" s="437"/>
      <c r="G744" s="437"/>
      <c r="H744" s="437"/>
      <c r="I744" s="437"/>
      <c r="J744" s="437"/>
      <c r="K744" s="437"/>
      <c r="L744" s="437"/>
      <c r="M744" s="437"/>
      <c r="N744" s="437"/>
    </row>
    <row r="745" spans="2:14" ht="12.75">
      <c r="B745" s="437"/>
      <c r="C745" s="437"/>
      <c r="D745" s="437"/>
      <c r="E745" s="437"/>
      <c r="F745" s="437"/>
      <c r="G745" s="437"/>
      <c r="H745" s="437"/>
      <c r="I745" s="437"/>
      <c r="J745" s="437"/>
      <c r="K745" s="437"/>
      <c r="L745" s="437"/>
      <c r="M745" s="437"/>
      <c r="N745" s="437"/>
    </row>
    <row r="746" spans="2:14" ht="12.75">
      <c r="B746" s="437"/>
      <c r="C746" s="437"/>
      <c r="D746" s="437"/>
      <c r="E746" s="437"/>
      <c r="F746" s="437"/>
      <c r="G746" s="437"/>
      <c r="H746" s="437"/>
      <c r="I746" s="437"/>
      <c r="J746" s="437"/>
      <c r="K746" s="437"/>
      <c r="L746" s="437"/>
      <c r="M746" s="437"/>
      <c r="N746" s="437"/>
    </row>
    <row r="747" spans="2:14" ht="12.75">
      <c r="B747" s="437"/>
      <c r="C747" s="437"/>
      <c r="D747" s="437"/>
      <c r="E747" s="437"/>
      <c r="F747" s="437"/>
      <c r="G747" s="437"/>
      <c r="H747" s="437"/>
      <c r="I747" s="437"/>
      <c r="J747" s="437"/>
      <c r="K747" s="437"/>
      <c r="L747" s="437"/>
      <c r="M747" s="437"/>
      <c r="N747" s="437"/>
    </row>
    <row r="748" spans="2:14" ht="12.75">
      <c r="B748" s="437"/>
      <c r="C748" s="437"/>
      <c r="D748" s="437"/>
      <c r="E748" s="437"/>
      <c r="F748" s="437"/>
      <c r="G748" s="437"/>
      <c r="H748" s="437"/>
      <c r="I748" s="437"/>
      <c r="J748" s="437"/>
      <c r="K748" s="437"/>
      <c r="L748" s="437"/>
      <c r="M748" s="437"/>
      <c r="N748" s="437"/>
    </row>
    <row r="749" spans="2:14" ht="12.75">
      <c r="B749" s="437"/>
      <c r="C749" s="437"/>
      <c r="D749" s="437"/>
      <c r="E749" s="437"/>
      <c r="F749" s="437"/>
      <c r="G749" s="437"/>
      <c r="H749" s="437"/>
      <c r="I749" s="437"/>
      <c r="J749" s="437"/>
      <c r="K749" s="437"/>
      <c r="L749" s="437"/>
      <c r="M749" s="437"/>
      <c r="N749" s="437"/>
    </row>
    <row r="750" spans="2:14" ht="12.75">
      <c r="B750" s="437"/>
      <c r="C750" s="437"/>
      <c r="D750" s="437"/>
      <c r="E750" s="437"/>
      <c r="F750" s="437"/>
      <c r="G750" s="437"/>
      <c r="H750" s="437"/>
      <c r="I750" s="437"/>
      <c r="J750" s="437"/>
      <c r="K750" s="437"/>
      <c r="L750" s="437"/>
      <c r="M750" s="437"/>
      <c r="N750" s="437"/>
    </row>
    <row r="751" spans="2:14" ht="12.75">
      <c r="B751" s="437"/>
      <c r="C751" s="437"/>
      <c r="D751" s="437"/>
      <c r="E751" s="437"/>
      <c r="F751" s="437"/>
      <c r="G751" s="437"/>
      <c r="H751" s="437"/>
      <c r="I751" s="437"/>
      <c r="J751" s="437"/>
      <c r="K751" s="437"/>
      <c r="L751" s="437"/>
      <c r="M751" s="437"/>
      <c r="N751" s="437"/>
    </row>
    <row r="752" spans="2:14" ht="12.75">
      <c r="B752" s="437"/>
      <c r="C752" s="437"/>
      <c r="D752" s="437"/>
      <c r="E752" s="437"/>
      <c r="F752" s="437"/>
      <c r="G752" s="437"/>
      <c r="H752" s="437"/>
      <c r="I752" s="437"/>
      <c r="J752" s="437"/>
      <c r="K752" s="437"/>
      <c r="L752" s="437"/>
      <c r="M752" s="437"/>
      <c r="N752" s="437"/>
    </row>
    <row r="753" spans="2:14" ht="12.75">
      <c r="B753" s="437"/>
      <c r="C753" s="437"/>
      <c r="D753" s="437"/>
      <c r="E753" s="437"/>
      <c r="F753" s="437"/>
      <c r="G753" s="437"/>
      <c r="H753" s="437"/>
      <c r="I753" s="437"/>
      <c r="J753" s="437"/>
      <c r="K753" s="437"/>
      <c r="L753" s="437"/>
      <c r="M753" s="437"/>
      <c r="N753" s="437"/>
    </row>
    <row r="754" spans="2:14" ht="12.75">
      <c r="B754" s="437"/>
      <c r="C754" s="437"/>
      <c r="D754" s="437"/>
      <c r="E754" s="437"/>
      <c r="F754" s="437"/>
      <c r="G754" s="437"/>
      <c r="H754" s="437"/>
      <c r="I754" s="437"/>
      <c r="J754" s="437"/>
      <c r="K754" s="437"/>
      <c r="L754" s="437"/>
      <c r="M754" s="437"/>
      <c r="N754" s="437"/>
    </row>
    <row r="755" spans="2:14" ht="12.75">
      <c r="B755" s="437"/>
      <c r="C755" s="437"/>
      <c r="D755" s="437"/>
      <c r="E755" s="437"/>
      <c r="F755" s="437"/>
      <c r="G755" s="437"/>
      <c r="H755" s="437"/>
      <c r="I755" s="437"/>
      <c r="J755" s="437"/>
      <c r="K755" s="437"/>
      <c r="L755" s="437"/>
      <c r="M755" s="437"/>
      <c r="N755" s="437"/>
    </row>
    <row r="756" spans="2:14" ht="12.75">
      <c r="B756" s="437"/>
      <c r="C756" s="437"/>
      <c r="D756" s="437"/>
      <c r="E756" s="437"/>
      <c r="F756" s="437"/>
      <c r="G756" s="437"/>
      <c r="H756" s="437"/>
      <c r="I756" s="437"/>
      <c r="J756" s="437"/>
      <c r="K756" s="437"/>
      <c r="L756" s="437"/>
      <c r="M756" s="437"/>
      <c r="N756" s="437"/>
    </row>
    <row r="757" spans="2:14" ht="12.75">
      <c r="B757" s="437"/>
      <c r="C757" s="437"/>
      <c r="D757" s="437"/>
      <c r="E757" s="437"/>
      <c r="F757" s="437"/>
      <c r="G757" s="437"/>
      <c r="H757" s="437"/>
      <c r="I757" s="437"/>
      <c r="J757" s="437"/>
      <c r="K757" s="437"/>
      <c r="L757" s="437"/>
      <c r="M757" s="437"/>
      <c r="N757" s="437"/>
    </row>
    <row r="758" spans="2:14" ht="12.75">
      <c r="B758" s="437"/>
      <c r="C758" s="437"/>
      <c r="D758" s="437"/>
      <c r="E758" s="437"/>
      <c r="F758" s="437"/>
      <c r="G758" s="437"/>
      <c r="H758" s="437"/>
      <c r="I758" s="437"/>
      <c r="J758" s="437"/>
      <c r="K758" s="437"/>
      <c r="L758" s="437"/>
      <c r="M758" s="437"/>
      <c r="N758" s="437"/>
    </row>
    <row r="759" spans="2:14" ht="12.75">
      <c r="B759" s="437"/>
      <c r="C759" s="437"/>
      <c r="D759" s="437"/>
      <c r="E759" s="437"/>
      <c r="F759" s="437"/>
      <c r="G759" s="437"/>
      <c r="H759" s="437"/>
      <c r="I759" s="437"/>
      <c r="J759" s="437"/>
      <c r="K759" s="437"/>
      <c r="L759" s="437"/>
      <c r="M759" s="437"/>
      <c r="N759" s="437"/>
    </row>
    <row r="760" spans="2:14" ht="12.75">
      <c r="B760" s="437"/>
      <c r="C760" s="437"/>
      <c r="D760" s="437"/>
      <c r="E760" s="437"/>
      <c r="F760" s="437"/>
      <c r="G760" s="437"/>
      <c r="H760" s="437"/>
      <c r="I760" s="437"/>
      <c r="J760" s="437"/>
      <c r="K760" s="437"/>
      <c r="L760" s="437"/>
      <c r="M760" s="437"/>
      <c r="N760" s="437"/>
    </row>
    <row r="761" spans="2:14" ht="12.75">
      <c r="B761" s="437"/>
      <c r="C761" s="437"/>
      <c r="D761" s="437"/>
      <c r="E761" s="437"/>
      <c r="F761" s="437"/>
      <c r="G761" s="437"/>
      <c r="H761" s="437"/>
      <c r="I761" s="437"/>
      <c r="J761" s="437"/>
      <c r="K761" s="437"/>
      <c r="L761" s="437"/>
      <c r="M761" s="437"/>
      <c r="N761" s="437"/>
    </row>
    <row r="762" spans="2:14" ht="12.75">
      <c r="B762" s="437"/>
      <c r="C762" s="437"/>
      <c r="D762" s="437"/>
      <c r="E762" s="437"/>
      <c r="F762" s="437"/>
      <c r="G762" s="437"/>
      <c r="H762" s="437"/>
      <c r="I762" s="437"/>
      <c r="J762" s="437"/>
      <c r="K762" s="437"/>
      <c r="L762" s="437"/>
      <c r="M762" s="437"/>
      <c r="N762" s="437"/>
    </row>
    <row r="763" spans="2:14" ht="12.75">
      <c r="B763" s="437"/>
      <c r="C763" s="437"/>
      <c r="D763" s="437"/>
      <c r="E763" s="437"/>
      <c r="F763" s="437"/>
      <c r="G763" s="437"/>
      <c r="H763" s="437"/>
      <c r="I763" s="437"/>
      <c r="J763" s="437"/>
      <c r="K763" s="437"/>
      <c r="L763" s="437"/>
      <c r="M763" s="437"/>
      <c r="N763" s="437"/>
    </row>
    <row r="764" spans="2:14" ht="12.75">
      <c r="B764" s="437"/>
      <c r="C764" s="437"/>
      <c r="D764" s="437"/>
      <c r="E764" s="437"/>
      <c r="F764" s="437"/>
      <c r="G764" s="437"/>
      <c r="H764" s="437"/>
      <c r="I764" s="437"/>
      <c r="J764" s="437"/>
      <c r="K764" s="437"/>
      <c r="L764" s="437"/>
      <c r="M764" s="437"/>
      <c r="N764" s="437"/>
    </row>
    <row r="765" spans="2:14" ht="12.75">
      <c r="B765" s="437"/>
      <c r="C765" s="437"/>
      <c r="D765" s="437"/>
      <c r="E765" s="437"/>
      <c r="F765" s="437"/>
      <c r="G765" s="437"/>
      <c r="H765" s="437"/>
      <c r="I765" s="437"/>
      <c r="J765" s="437"/>
      <c r="K765" s="437"/>
      <c r="L765" s="437"/>
      <c r="M765" s="437"/>
      <c r="N765" s="437"/>
    </row>
    <row r="766" spans="2:14" ht="12.75">
      <c r="B766" s="437"/>
      <c r="C766" s="437"/>
      <c r="D766" s="437"/>
      <c r="E766" s="437"/>
      <c r="F766" s="437"/>
      <c r="G766" s="437"/>
      <c r="H766" s="437"/>
      <c r="I766" s="437"/>
      <c r="J766" s="437"/>
      <c r="K766" s="437"/>
      <c r="L766" s="437"/>
      <c r="M766" s="437"/>
      <c r="N766" s="437"/>
    </row>
    <row r="767" spans="2:14" ht="12.75">
      <c r="B767" s="437"/>
      <c r="C767" s="437"/>
      <c r="D767" s="437"/>
      <c r="E767" s="437"/>
      <c r="F767" s="437"/>
      <c r="G767" s="437"/>
      <c r="H767" s="437"/>
      <c r="I767" s="437"/>
      <c r="J767" s="437"/>
      <c r="K767" s="437"/>
      <c r="L767" s="437"/>
      <c r="M767" s="437"/>
      <c r="N767" s="437"/>
    </row>
    <row r="768" spans="2:14" ht="12.75">
      <c r="B768" s="437"/>
      <c r="C768" s="437"/>
      <c r="D768" s="437"/>
      <c r="E768" s="437"/>
      <c r="F768" s="437"/>
      <c r="G768" s="437"/>
      <c r="H768" s="437"/>
      <c r="I768" s="437"/>
      <c r="J768" s="437"/>
      <c r="K768" s="437"/>
      <c r="L768" s="437"/>
      <c r="M768" s="437"/>
      <c r="N768" s="437"/>
    </row>
    <row r="769" spans="2:14" ht="12.75">
      <c r="B769" s="437"/>
      <c r="C769" s="437"/>
      <c r="D769" s="437"/>
      <c r="E769" s="437"/>
      <c r="F769" s="437"/>
      <c r="G769" s="437"/>
      <c r="H769" s="437"/>
      <c r="I769" s="437"/>
      <c r="J769" s="437"/>
      <c r="K769" s="437"/>
      <c r="L769" s="437"/>
      <c r="M769" s="437"/>
      <c r="N769" s="437"/>
    </row>
    <row r="770" spans="2:14" ht="12.75">
      <c r="B770" s="437"/>
      <c r="C770" s="437"/>
      <c r="D770" s="437"/>
      <c r="E770" s="437"/>
      <c r="F770" s="437"/>
      <c r="G770" s="437"/>
      <c r="H770" s="437"/>
      <c r="I770" s="437"/>
      <c r="J770" s="437"/>
      <c r="K770" s="437"/>
      <c r="L770" s="437"/>
      <c r="M770" s="437"/>
      <c r="N770" s="437"/>
    </row>
    <row r="771" spans="2:14" ht="12.75">
      <c r="B771" s="437"/>
      <c r="C771" s="437"/>
      <c r="D771" s="437"/>
      <c r="E771" s="437"/>
      <c r="F771" s="437"/>
      <c r="G771" s="437"/>
      <c r="H771" s="437"/>
      <c r="I771" s="437"/>
      <c r="J771" s="437"/>
      <c r="K771" s="437"/>
      <c r="L771" s="437"/>
      <c r="M771" s="437"/>
      <c r="N771" s="437"/>
    </row>
    <row r="772" spans="2:14" ht="12.75">
      <c r="B772" s="437"/>
      <c r="C772" s="437"/>
      <c r="D772" s="437"/>
      <c r="E772" s="437"/>
      <c r="F772" s="437"/>
      <c r="G772" s="437"/>
      <c r="H772" s="437"/>
      <c r="I772" s="437"/>
      <c r="J772" s="437"/>
      <c r="K772" s="437"/>
      <c r="L772" s="437"/>
      <c r="M772" s="437"/>
      <c r="N772" s="437"/>
    </row>
    <row r="773" spans="2:14" ht="12.75">
      <c r="B773" s="437"/>
      <c r="C773" s="437"/>
      <c r="D773" s="437"/>
      <c r="E773" s="437"/>
      <c r="F773" s="437"/>
      <c r="G773" s="437"/>
      <c r="H773" s="437"/>
      <c r="I773" s="437"/>
      <c r="J773" s="437"/>
      <c r="K773" s="437"/>
      <c r="L773" s="437"/>
      <c r="M773" s="437"/>
      <c r="N773" s="437"/>
    </row>
    <row r="774" spans="2:14" ht="12.75">
      <c r="B774" s="437"/>
      <c r="C774" s="437"/>
      <c r="D774" s="437"/>
      <c r="E774" s="437"/>
      <c r="F774" s="437"/>
      <c r="G774" s="437"/>
      <c r="H774" s="437"/>
      <c r="I774" s="437"/>
      <c r="J774" s="437"/>
      <c r="K774" s="437"/>
      <c r="L774" s="437"/>
      <c r="M774" s="437"/>
      <c r="N774" s="437"/>
    </row>
    <row r="775" spans="2:14" ht="12.75">
      <c r="B775" s="437"/>
      <c r="C775" s="437"/>
      <c r="D775" s="437"/>
      <c r="E775" s="437"/>
      <c r="F775" s="437"/>
      <c r="G775" s="437"/>
      <c r="H775" s="437"/>
      <c r="I775" s="437"/>
      <c r="J775" s="437"/>
      <c r="K775" s="437"/>
      <c r="L775" s="437"/>
      <c r="M775" s="437"/>
      <c r="N775" s="437"/>
    </row>
    <row r="776" spans="2:14" ht="12.75">
      <c r="B776" s="437"/>
      <c r="C776" s="437"/>
      <c r="D776" s="437"/>
      <c r="E776" s="437"/>
      <c r="F776" s="437"/>
      <c r="G776" s="437"/>
      <c r="H776" s="437"/>
      <c r="I776" s="437"/>
      <c r="J776" s="437"/>
      <c r="K776" s="437"/>
      <c r="L776" s="437"/>
      <c r="M776" s="437"/>
      <c r="N776" s="437"/>
    </row>
    <row r="777" spans="2:14" ht="12.75">
      <c r="B777" s="437"/>
      <c r="C777" s="437"/>
      <c r="D777" s="437"/>
      <c r="E777" s="437"/>
      <c r="F777" s="437"/>
      <c r="G777" s="437"/>
      <c r="H777" s="437"/>
      <c r="I777" s="437"/>
      <c r="J777" s="437"/>
      <c r="K777" s="437"/>
      <c r="L777" s="437"/>
      <c r="M777" s="437"/>
      <c r="N777" s="437"/>
    </row>
    <row r="778" spans="2:14" ht="12.75">
      <c r="B778" s="437"/>
      <c r="C778" s="437"/>
      <c r="D778" s="437"/>
      <c r="E778" s="437"/>
      <c r="F778" s="437"/>
      <c r="G778" s="437"/>
      <c r="H778" s="437"/>
      <c r="I778" s="437"/>
      <c r="J778" s="437"/>
      <c r="K778" s="437"/>
      <c r="L778" s="437"/>
      <c r="M778" s="437"/>
      <c r="N778" s="437"/>
    </row>
    <row r="779" spans="2:14" ht="12.75">
      <c r="B779" s="437"/>
      <c r="C779" s="437"/>
      <c r="D779" s="437"/>
      <c r="E779" s="437"/>
      <c r="F779" s="437"/>
      <c r="G779" s="437"/>
      <c r="H779" s="437"/>
      <c r="I779" s="437"/>
      <c r="J779" s="437"/>
      <c r="K779" s="437"/>
      <c r="L779" s="437"/>
      <c r="M779" s="437"/>
      <c r="N779" s="437"/>
    </row>
    <row r="780" spans="2:14" ht="12.75">
      <c r="B780" s="437"/>
      <c r="C780" s="437"/>
      <c r="D780" s="437"/>
      <c r="E780" s="437"/>
      <c r="F780" s="437"/>
      <c r="G780" s="437"/>
      <c r="H780" s="437"/>
      <c r="I780" s="437"/>
      <c r="J780" s="437"/>
      <c r="K780" s="437"/>
      <c r="L780" s="437"/>
      <c r="M780" s="437"/>
      <c r="N780" s="437"/>
    </row>
    <row r="781" spans="2:14" ht="12.75">
      <c r="B781" s="437"/>
      <c r="C781" s="437"/>
      <c r="D781" s="437"/>
      <c r="E781" s="437"/>
      <c r="F781" s="437"/>
      <c r="G781" s="437"/>
      <c r="H781" s="437"/>
      <c r="I781" s="437"/>
      <c r="J781" s="437"/>
      <c r="K781" s="437"/>
      <c r="L781" s="437"/>
      <c r="M781" s="437"/>
      <c r="N781" s="437"/>
    </row>
    <row r="782" spans="2:14" ht="12.75">
      <c r="B782" s="437"/>
      <c r="C782" s="437"/>
      <c r="D782" s="437"/>
      <c r="E782" s="437"/>
      <c r="F782" s="437"/>
      <c r="G782" s="437"/>
      <c r="H782" s="437"/>
      <c r="I782" s="437"/>
      <c r="J782" s="437"/>
      <c r="K782" s="437"/>
      <c r="L782" s="437"/>
      <c r="M782" s="437"/>
      <c r="N782" s="437"/>
    </row>
    <row r="783" spans="2:14" ht="12.75">
      <c r="B783" s="437"/>
      <c r="C783" s="437"/>
      <c r="D783" s="437"/>
      <c r="E783" s="437"/>
      <c r="F783" s="437"/>
      <c r="G783" s="437"/>
      <c r="H783" s="437"/>
      <c r="I783" s="437"/>
      <c r="J783" s="437"/>
      <c r="K783" s="437"/>
      <c r="L783" s="437"/>
      <c r="M783" s="437"/>
      <c r="N783" s="437"/>
    </row>
    <row r="784" spans="2:14" ht="12.75">
      <c r="B784" s="437"/>
      <c r="C784" s="437"/>
      <c r="D784" s="437"/>
      <c r="E784" s="437"/>
      <c r="F784" s="437"/>
      <c r="G784" s="437"/>
      <c r="H784" s="437"/>
      <c r="I784" s="437"/>
      <c r="J784" s="437"/>
      <c r="K784" s="437"/>
      <c r="L784" s="437"/>
      <c r="M784" s="437"/>
      <c r="N784" s="437"/>
    </row>
    <row r="785" spans="2:14" ht="12.75">
      <c r="B785" s="437"/>
      <c r="C785" s="437"/>
      <c r="D785" s="437"/>
      <c r="E785" s="437"/>
      <c r="F785" s="437"/>
      <c r="G785" s="437"/>
      <c r="H785" s="437"/>
      <c r="I785" s="437"/>
      <c r="J785" s="437"/>
      <c r="K785" s="437"/>
      <c r="L785" s="437"/>
      <c r="M785" s="437"/>
      <c r="N785" s="437"/>
    </row>
    <row r="786" spans="2:14" ht="12.75">
      <c r="B786" s="437"/>
      <c r="C786" s="437"/>
      <c r="D786" s="437"/>
      <c r="E786" s="437"/>
      <c r="F786" s="437"/>
      <c r="G786" s="437"/>
      <c r="H786" s="437"/>
      <c r="I786" s="437"/>
      <c r="J786" s="437"/>
      <c r="K786" s="437"/>
      <c r="L786" s="437"/>
      <c r="M786" s="437"/>
      <c r="N786" s="437"/>
    </row>
    <row r="787" spans="2:14" ht="12.75">
      <c r="B787" s="437"/>
      <c r="C787" s="437"/>
      <c r="D787" s="437"/>
      <c r="E787" s="437"/>
      <c r="F787" s="437"/>
      <c r="G787" s="437"/>
      <c r="H787" s="437"/>
      <c r="I787" s="437"/>
      <c r="J787" s="437"/>
      <c r="K787" s="437"/>
      <c r="L787" s="437"/>
      <c r="M787" s="437"/>
      <c r="N787" s="437"/>
    </row>
    <row r="788" spans="2:14" ht="12.75">
      <c r="B788" s="437"/>
      <c r="C788" s="437"/>
      <c r="D788" s="437"/>
      <c r="E788" s="437"/>
      <c r="F788" s="437"/>
      <c r="G788" s="437"/>
      <c r="H788" s="437"/>
      <c r="I788" s="437"/>
      <c r="J788" s="437"/>
      <c r="K788" s="437"/>
      <c r="L788" s="437"/>
      <c r="M788" s="437"/>
      <c r="N788" s="437"/>
    </row>
    <row r="789" spans="2:14" ht="12.75">
      <c r="B789" s="437"/>
      <c r="C789" s="437"/>
      <c r="D789" s="437"/>
      <c r="E789" s="437"/>
      <c r="F789" s="437"/>
      <c r="G789" s="437"/>
      <c r="H789" s="437"/>
      <c r="I789" s="437"/>
      <c r="J789" s="437"/>
      <c r="K789" s="437"/>
      <c r="L789" s="437"/>
      <c r="M789" s="437"/>
      <c r="N789" s="437"/>
    </row>
    <row r="790" spans="2:14" ht="12.75">
      <c r="B790" s="437"/>
      <c r="C790" s="437"/>
      <c r="D790" s="437"/>
      <c r="E790" s="437"/>
      <c r="F790" s="437"/>
      <c r="G790" s="437"/>
      <c r="H790" s="437"/>
      <c r="I790" s="437"/>
      <c r="J790" s="437"/>
      <c r="K790" s="437"/>
      <c r="L790" s="437"/>
      <c r="M790" s="437"/>
      <c r="N790" s="437"/>
    </row>
    <row r="791" spans="2:14" ht="12.75">
      <c r="B791" s="437"/>
      <c r="C791" s="437"/>
      <c r="D791" s="437"/>
      <c r="E791" s="437"/>
      <c r="F791" s="437"/>
      <c r="G791" s="437"/>
      <c r="H791" s="437"/>
      <c r="I791" s="437"/>
      <c r="J791" s="437"/>
      <c r="K791" s="437"/>
      <c r="L791" s="437"/>
      <c r="M791" s="437"/>
      <c r="N791" s="437"/>
    </row>
    <row r="792" spans="2:14" ht="12.75">
      <c r="B792" s="437"/>
      <c r="C792" s="437"/>
      <c r="D792" s="437"/>
      <c r="E792" s="437"/>
      <c r="F792" s="437"/>
      <c r="G792" s="437"/>
      <c r="H792" s="437"/>
      <c r="I792" s="437"/>
      <c r="J792" s="437"/>
      <c r="K792" s="437"/>
      <c r="L792" s="437"/>
      <c r="M792" s="437"/>
      <c r="N792" s="437"/>
    </row>
    <row r="793" spans="2:14" ht="12.75">
      <c r="B793" s="437"/>
      <c r="C793" s="437"/>
      <c r="D793" s="437"/>
      <c r="E793" s="437"/>
      <c r="F793" s="437"/>
      <c r="G793" s="437"/>
      <c r="H793" s="437"/>
      <c r="I793" s="437"/>
      <c r="J793" s="437"/>
      <c r="K793" s="437"/>
      <c r="L793" s="437"/>
      <c r="M793" s="437"/>
      <c r="N793" s="437"/>
    </row>
    <row r="794" spans="2:14" ht="12.75">
      <c r="B794" s="437"/>
      <c r="C794" s="437"/>
      <c r="D794" s="437"/>
      <c r="E794" s="437"/>
      <c r="F794" s="437"/>
      <c r="G794" s="437"/>
      <c r="H794" s="437"/>
      <c r="I794" s="437"/>
      <c r="J794" s="437"/>
      <c r="K794" s="437"/>
      <c r="L794" s="437"/>
      <c r="M794" s="437"/>
      <c r="N794" s="437"/>
    </row>
    <row r="795" spans="2:14" ht="12.75">
      <c r="B795" s="437"/>
      <c r="C795" s="437"/>
      <c r="D795" s="437"/>
      <c r="E795" s="437"/>
      <c r="F795" s="437"/>
      <c r="G795" s="437"/>
      <c r="H795" s="437"/>
      <c r="I795" s="437"/>
      <c r="J795" s="437"/>
      <c r="K795" s="437"/>
      <c r="L795" s="437"/>
      <c r="M795" s="437"/>
      <c r="N795" s="437"/>
    </row>
    <row r="796" spans="2:14" ht="12.75">
      <c r="B796" s="437"/>
      <c r="C796" s="437"/>
      <c r="D796" s="437"/>
      <c r="E796" s="437"/>
      <c r="F796" s="437"/>
      <c r="G796" s="437"/>
      <c r="H796" s="437"/>
      <c r="I796" s="437"/>
      <c r="J796" s="437"/>
      <c r="K796" s="437"/>
      <c r="L796" s="437"/>
      <c r="M796" s="437"/>
      <c r="N796" s="437"/>
    </row>
    <row r="797" spans="2:14" ht="12.75">
      <c r="B797" s="437"/>
      <c r="C797" s="437"/>
      <c r="D797" s="437"/>
      <c r="E797" s="437"/>
      <c r="F797" s="437"/>
      <c r="G797" s="437"/>
      <c r="H797" s="437"/>
      <c r="I797" s="437"/>
      <c r="J797" s="437"/>
      <c r="K797" s="437"/>
      <c r="L797" s="437"/>
      <c r="M797" s="437"/>
      <c r="N797" s="437"/>
    </row>
    <row r="798" spans="2:14" ht="12.75">
      <c r="B798" s="437"/>
      <c r="C798" s="437"/>
      <c r="D798" s="437"/>
      <c r="E798" s="437"/>
      <c r="F798" s="437"/>
      <c r="G798" s="437"/>
      <c r="H798" s="437"/>
      <c r="I798" s="437"/>
      <c r="J798" s="437"/>
      <c r="K798" s="437"/>
      <c r="L798" s="437"/>
      <c r="M798" s="437"/>
      <c r="N798" s="437"/>
    </row>
    <row r="799" spans="2:14" ht="12.75">
      <c r="B799" s="437"/>
      <c r="C799" s="437"/>
      <c r="D799" s="437"/>
      <c r="E799" s="437"/>
      <c r="F799" s="437"/>
      <c r="G799" s="437"/>
      <c r="H799" s="437"/>
      <c r="I799" s="437"/>
      <c r="J799" s="437"/>
      <c r="K799" s="437"/>
      <c r="L799" s="437"/>
      <c r="M799" s="437"/>
      <c r="N799" s="437"/>
    </row>
    <row r="800" spans="2:14" ht="12.75">
      <c r="B800" s="437"/>
      <c r="C800" s="437"/>
      <c r="D800" s="437"/>
      <c r="E800" s="437"/>
      <c r="F800" s="437"/>
      <c r="G800" s="437"/>
      <c r="H800" s="437"/>
      <c r="I800" s="437"/>
      <c r="J800" s="437"/>
      <c r="K800" s="437"/>
      <c r="L800" s="437"/>
      <c r="M800" s="437"/>
      <c r="N800" s="437"/>
    </row>
    <row r="801" spans="2:14" ht="12.75">
      <c r="B801" s="437"/>
      <c r="C801" s="437"/>
      <c r="D801" s="437"/>
      <c r="E801" s="437"/>
      <c r="F801" s="437"/>
      <c r="G801" s="437"/>
      <c r="H801" s="437"/>
      <c r="I801" s="437"/>
      <c r="J801" s="437"/>
      <c r="K801" s="437"/>
      <c r="L801" s="437"/>
      <c r="M801" s="437"/>
      <c r="N801" s="437"/>
    </row>
    <row r="802" spans="2:14" ht="12.75">
      <c r="B802" s="437"/>
      <c r="C802" s="437"/>
      <c r="D802" s="437"/>
      <c r="E802" s="437"/>
      <c r="F802" s="437"/>
      <c r="G802" s="437"/>
      <c r="H802" s="437"/>
      <c r="I802" s="437"/>
      <c r="J802" s="437"/>
      <c r="K802" s="437"/>
      <c r="L802" s="437"/>
      <c r="M802" s="437"/>
      <c r="N802" s="437"/>
    </row>
    <row r="803" spans="2:14" ht="12.75">
      <c r="B803" s="437"/>
      <c r="C803" s="437"/>
      <c r="D803" s="437"/>
      <c r="E803" s="437"/>
      <c r="F803" s="437"/>
      <c r="G803" s="437"/>
      <c r="H803" s="437"/>
      <c r="I803" s="437"/>
      <c r="J803" s="437"/>
      <c r="K803" s="437"/>
      <c r="L803" s="437"/>
      <c r="M803" s="437"/>
      <c r="N803" s="437"/>
    </row>
    <row r="804" spans="2:14" ht="12.75">
      <c r="B804" s="437"/>
      <c r="C804" s="437"/>
      <c r="D804" s="437"/>
      <c r="E804" s="437"/>
      <c r="F804" s="437"/>
      <c r="G804" s="437"/>
      <c r="H804" s="437"/>
      <c r="I804" s="437"/>
      <c r="J804" s="437"/>
      <c r="K804" s="437"/>
      <c r="L804" s="437"/>
      <c r="M804" s="437"/>
      <c r="N804" s="437"/>
    </row>
    <row r="805" spans="2:14" ht="12.75">
      <c r="B805" s="437"/>
      <c r="C805" s="437"/>
      <c r="D805" s="437"/>
      <c r="E805" s="437"/>
      <c r="F805" s="437"/>
      <c r="G805" s="437"/>
      <c r="H805" s="437"/>
      <c r="I805" s="437"/>
      <c r="J805" s="437"/>
      <c r="K805" s="437"/>
      <c r="L805" s="437"/>
      <c r="M805" s="437"/>
      <c r="N805" s="437"/>
    </row>
    <row r="806" spans="2:14" ht="12.75">
      <c r="B806" s="437"/>
      <c r="C806" s="437"/>
      <c r="D806" s="437"/>
      <c r="E806" s="437"/>
      <c r="F806" s="437"/>
      <c r="G806" s="437"/>
      <c r="H806" s="437"/>
      <c r="I806" s="437"/>
      <c r="J806" s="437"/>
      <c r="K806" s="437"/>
      <c r="L806" s="437"/>
      <c r="M806" s="437"/>
      <c r="N806" s="437"/>
    </row>
    <row r="807" spans="2:14" ht="12.75">
      <c r="B807" s="437"/>
      <c r="C807" s="437"/>
      <c r="D807" s="437"/>
      <c r="E807" s="437"/>
      <c r="F807" s="437"/>
      <c r="G807" s="437"/>
      <c r="H807" s="437"/>
      <c r="I807" s="437"/>
      <c r="J807" s="437"/>
      <c r="K807" s="437"/>
      <c r="L807" s="437"/>
      <c r="M807" s="437"/>
      <c r="N807" s="437"/>
    </row>
    <row r="808" spans="2:14" ht="12.75">
      <c r="B808" s="437"/>
      <c r="C808" s="437"/>
      <c r="D808" s="437"/>
      <c r="E808" s="437"/>
      <c r="F808" s="437"/>
      <c r="G808" s="437"/>
      <c r="H808" s="437"/>
      <c r="I808" s="437"/>
      <c r="J808" s="437"/>
      <c r="K808" s="437"/>
      <c r="L808" s="437"/>
      <c r="M808" s="437"/>
      <c r="N808" s="437"/>
    </row>
    <row r="809" spans="2:14" ht="12.75">
      <c r="B809" s="437"/>
      <c r="C809" s="437"/>
      <c r="D809" s="437"/>
      <c r="E809" s="437"/>
      <c r="F809" s="437"/>
      <c r="G809" s="437"/>
      <c r="H809" s="437"/>
      <c r="I809" s="437"/>
      <c r="J809" s="437"/>
      <c r="K809" s="437"/>
      <c r="L809" s="437"/>
      <c r="M809" s="437"/>
      <c r="N809" s="437"/>
    </row>
    <row r="810" spans="2:14" ht="12.75">
      <c r="B810" s="437"/>
      <c r="C810" s="437"/>
      <c r="D810" s="437"/>
      <c r="E810" s="437"/>
      <c r="F810" s="437"/>
      <c r="G810" s="437"/>
      <c r="H810" s="437"/>
      <c r="I810" s="437"/>
      <c r="J810" s="437"/>
      <c r="K810" s="437"/>
      <c r="L810" s="437"/>
      <c r="M810" s="437"/>
      <c r="N810" s="437"/>
    </row>
    <row r="811" spans="2:14" ht="12.75">
      <c r="B811" s="437"/>
      <c r="C811" s="437"/>
      <c r="D811" s="437"/>
      <c r="E811" s="437"/>
      <c r="F811" s="437"/>
      <c r="G811" s="437"/>
      <c r="H811" s="437"/>
      <c r="I811" s="437"/>
      <c r="J811" s="437"/>
      <c r="K811" s="437"/>
      <c r="L811" s="437"/>
      <c r="M811" s="437"/>
      <c r="N811" s="437"/>
    </row>
    <row r="812" spans="2:14" ht="12.75">
      <c r="B812" s="437"/>
      <c r="C812" s="437"/>
      <c r="D812" s="437"/>
      <c r="E812" s="437"/>
      <c r="F812" s="437"/>
      <c r="G812" s="437"/>
      <c r="H812" s="437"/>
      <c r="I812" s="437"/>
      <c r="J812" s="437"/>
      <c r="K812" s="437"/>
      <c r="L812" s="437"/>
      <c r="M812" s="437"/>
      <c r="N812" s="437"/>
    </row>
    <row r="813" spans="2:14" ht="12.75">
      <c r="B813" s="437"/>
      <c r="C813" s="437"/>
      <c r="D813" s="437"/>
      <c r="E813" s="437"/>
      <c r="F813" s="437"/>
      <c r="G813" s="437"/>
      <c r="H813" s="437"/>
      <c r="I813" s="437"/>
      <c r="J813" s="437"/>
      <c r="K813" s="437"/>
      <c r="L813" s="437"/>
      <c r="M813" s="437"/>
      <c r="N813" s="437"/>
    </row>
    <row r="814" spans="2:14" ht="12.75">
      <c r="B814" s="437"/>
      <c r="C814" s="437"/>
      <c r="D814" s="437"/>
      <c r="E814" s="437"/>
      <c r="F814" s="437"/>
      <c r="G814" s="437"/>
      <c r="H814" s="437"/>
      <c r="I814" s="437"/>
      <c r="J814" s="437"/>
      <c r="K814" s="437"/>
      <c r="L814" s="437"/>
      <c r="M814" s="437"/>
      <c r="N814" s="437"/>
    </row>
    <row r="815" spans="2:14" ht="12.75">
      <c r="B815" s="437"/>
      <c r="C815" s="437"/>
      <c r="D815" s="437"/>
      <c r="E815" s="437"/>
      <c r="F815" s="437"/>
      <c r="G815" s="437"/>
      <c r="H815" s="437"/>
      <c r="I815" s="437"/>
      <c r="J815" s="437"/>
      <c r="K815" s="437"/>
      <c r="L815" s="437"/>
      <c r="M815" s="437"/>
      <c r="N815" s="437"/>
    </row>
    <row r="816" spans="2:14" ht="12.75">
      <c r="B816" s="437"/>
      <c r="C816" s="437"/>
      <c r="D816" s="437"/>
      <c r="E816" s="437"/>
      <c r="F816" s="437"/>
      <c r="G816" s="437"/>
      <c r="H816" s="437"/>
      <c r="I816" s="437"/>
      <c r="J816" s="437"/>
      <c r="K816" s="437"/>
      <c r="L816" s="437"/>
      <c r="M816" s="437"/>
      <c r="N816" s="437"/>
    </row>
    <row r="817" spans="2:14" ht="12.75">
      <c r="B817" s="437"/>
      <c r="C817" s="437"/>
      <c r="D817" s="437"/>
      <c r="E817" s="437"/>
      <c r="F817" s="437"/>
      <c r="G817" s="437"/>
      <c r="H817" s="437"/>
      <c r="I817" s="437"/>
      <c r="J817" s="437"/>
      <c r="K817" s="437"/>
      <c r="L817" s="437"/>
      <c r="M817" s="437"/>
      <c r="N817" s="437"/>
    </row>
    <row r="818" spans="2:14" ht="12.75">
      <c r="B818" s="437"/>
      <c r="C818" s="437"/>
      <c r="D818" s="437"/>
      <c r="E818" s="437"/>
      <c r="F818" s="437"/>
      <c r="G818" s="437"/>
      <c r="H818" s="437"/>
      <c r="I818" s="437"/>
      <c r="J818" s="437"/>
      <c r="K818" s="437"/>
      <c r="L818" s="437"/>
      <c r="M818" s="437"/>
      <c r="N818" s="437"/>
    </row>
    <row r="819" spans="2:14" ht="12.75">
      <c r="B819" s="437"/>
      <c r="C819" s="437"/>
      <c r="D819" s="437"/>
      <c r="E819" s="437"/>
      <c r="F819" s="437"/>
      <c r="G819" s="437"/>
      <c r="H819" s="437"/>
      <c r="I819" s="437"/>
      <c r="J819" s="437"/>
      <c r="K819" s="437"/>
      <c r="L819" s="437"/>
      <c r="M819" s="437"/>
      <c r="N819" s="437"/>
    </row>
    <row r="820" spans="2:14" ht="12.75">
      <c r="B820" s="437"/>
      <c r="C820" s="437"/>
      <c r="D820" s="437"/>
      <c r="E820" s="437"/>
      <c r="F820" s="437"/>
      <c r="G820" s="437"/>
      <c r="H820" s="437"/>
      <c r="I820" s="437"/>
      <c r="J820" s="437"/>
      <c r="K820" s="437"/>
      <c r="L820" s="437"/>
      <c r="M820" s="437"/>
      <c r="N820" s="437"/>
    </row>
    <row r="821" spans="2:14" ht="12.75">
      <c r="B821" s="437"/>
      <c r="C821" s="437"/>
      <c r="D821" s="437"/>
      <c r="E821" s="437"/>
      <c r="F821" s="437"/>
      <c r="G821" s="437"/>
      <c r="H821" s="437"/>
      <c r="I821" s="437"/>
      <c r="J821" s="437"/>
      <c r="K821" s="437"/>
      <c r="L821" s="437"/>
      <c r="M821" s="437"/>
      <c r="N821" s="437"/>
    </row>
    <row r="822" spans="2:14" ht="12.75">
      <c r="B822" s="437"/>
      <c r="C822" s="437"/>
      <c r="D822" s="437"/>
      <c r="E822" s="437"/>
      <c r="F822" s="437"/>
      <c r="G822" s="437"/>
      <c r="H822" s="437"/>
      <c r="I822" s="437"/>
      <c r="J822" s="437"/>
      <c r="K822" s="437"/>
      <c r="L822" s="437"/>
      <c r="M822" s="437"/>
      <c r="N822" s="437"/>
    </row>
    <row r="823" spans="2:14" ht="12.75">
      <c r="B823" s="437"/>
      <c r="C823" s="437"/>
      <c r="D823" s="437"/>
      <c r="E823" s="437"/>
      <c r="F823" s="437"/>
      <c r="G823" s="437"/>
      <c r="H823" s="437"/>
      <c r="I823" s="437"/>
      <c r="J823" s="437"/>
      <c r="K823" s="437"/>
      <c r="L823" s="437"/>
      <c r="M823" s="437"/>
      <c r="N823" s="437"/>
    </row>
    <row r="824" spans="2:14" ht="12.75">
      <c r="B824" s="437"/>
      <c r="C824" s="437"/>
      <c r="D824" s="437"/>
      <c r="E824" s="437"/>
      <c r="F824" s="437"/>
      <c r="G824" s="437"/>
      <c r="H824" s="437"/>
      <c r="I824" s="437"/>
      <c r="J824" s="437"/>
      <c r="K824" s="437"/>
      <c r="L824" s="437"/>
      <c r="M824" s="437"/>
      <c r="N824" s="437"/>
    </row>
    <row r="825" spans="2:14" ht="12.75">
      <c r="B825" s="437"/>
      <c r="C825" s="437"/>
      <c r="D825" s="437"/>
      <c r="E825" s="437"/>
      <c r="F825" s="437"/>
      <c r="G825" s="437"/>
      <c r="H825" s="437"/>
      <c r="I825" s="437"/>
      <c r="J825" s="437"/>
      <c r="K825" s="437"/>
      <c r="L825" s="437"/>
      <c r="M825" s="437"/>
      <c r="N825" s="437"/>
    </row>
    <row r="826" spans="2:14" ht="12.75">
      <c r="B826" s="437"/>
      <c r="C826" s="437"/>
      <c r="D826" s="437"/>
      <c r="E826" s="437"/>
      <c r="F826" s="437"/>
      <c r="G826" s="437"/>
      <c r="H826" s="437"/>
      <c r="I826" s="437"/>
      <c r="J826" s="437"/>
      <c r="K826" s="437"/>
      <c r="L826" s="437"/>
      <c r="M826" s="437"/>
      <c r="N826" s="437"/>
    </row>
    <row r="827" spans="2:14" ht="12.75">
      <c r="B827" s="437"/>
      <c r="C827" s="437"/>
      <c r="D827" s="437"/>
      <c r="E827" s="437"/>
      <c r="F827" s="437"/>
      <c r="G827" s="437"/>
      <c r="H827" s="437"/>
      <c r="I827" s="437"/>
      <c r="J827" s="437"/>
      <c r="K827" s="437"/>
      <c r="L827" s="437"/>
      <c r="M827" s="437"/>
      <c r="N827" s="437"/>
    </row>
    <row r="828" spans="2:14" ht="12.75">
      <c r="B828" s="437"/>
      <c r="C828" s="437"/>
      <c r="D828" s="437"/>
      <c r="E828" s="437"/>
      <c r="F828" s="437"/>
      <c r="G828" s="437"/>
      <c r="H828" s="437"/>
      <c r="I828" s="437"/>
      <c r="J828" s="437"/>
      <c r="K828" s="437"/>
      <c r="L828" s="437"/>
      <c r="M828" s="437"/>
      <c r="N828" s="437"/>
    </row>
  </sheetData>
  <mergeCells count="18">
    <mergeCell ref="A25:A26"/>
    <mergeCell ref="T2:T3"/>
    <mergeCell ref="U2:U3"/>
    <mergeCell ref="A2:A3"/>
    <mergeCell ref="P2:P3"/>
    <mergeCell ref="S2:S3"/>
    <mergeCell ref="F2:G2"/>
    <mergeCell ref="D2:E2"/>
    <mergeCell ref="B2:C2"/>
    <mergeCell ref="B25:C25"/>
    <mergeCell ref="D25:E25"/>
    <mergeCell ref="F25:G25"/>
    <mergeCell ref="C47:H48"/>
    <mergeCell ref="H33:H34"/>
    <mergeCell ref="E45:H45"/>
    <mergeCell ref="G42:H43"/>
    <mergeCell ref="H35:H39"/>
    <mergeCell ref="H27:I31"/>
  </mergeCells>
  <printOptions/>
  <pageMargins left="0.45" right="0" top="0.984251968503937" bottom="0.984251968503937" header="0.5118110236220472" footer="0.5118110236220472"/>
  <pageSetup horizontalDpi="600" verticalDpi="600" orientation="portrait" paperSize="9" scale="61" r:id="rId1"/>
</worksheet>
</file>

<file path=xl/worksheets/sheet5.xml><?xml version="1.0" encoding="utf-8"?>
<worksheet xmlns="http://schemas.openxmlformats.org/spreadsheetml/2006/main" xmlns:r="http://schemas.openxmlformats.org/officeDocument/2006/relationships">
  <sheetPr>
    <tabColor indexed="21"/>
  </sheetPr>
  <dimension ref="A1:J106"/>
  <sheetViews>
    <sheetView zoomScale="90" zoomScaleNormal="90" workbookViewId="0" topLeftCell="A1">
      <selection activeCell="A1" sqref="A1"/>
    </sheetView>
  </sheetViews>
  <sheetFormatPr defaultColWidth="9.140625" defaultRowHeight="12.75"/>
  <cols>
    <col min="1" max="1" width="11.421875" style="0" customWidth="1"/>
    <col min="2" max="2" width="22.421875" style="0" customWidth="1"/>
    <col min="3" max="3" width="12.28125" style="0" customWidth="1"/>
    <col min="4" max="5" width="11.421875" style="0" customWidth="1"/>
    <col min="6" max="6" width="12.57421875" style="0" customWidth="1"/>
    <col min="7" max="9" width="11.421875" style="0" customWidth="1"/>
    <col min="10" max="10" width="41.57421875" style="0" customWidth="1"/>
    <col min="11" max="17" width="11.421875" style="0" customWidth="1"/>
    <col min="18" max="18" width="3.28125" style="0" customWidth="1"/>
    <col min="19" max="16384" width="11.421875" style="0" customWidth="1"/>
  </cols>
  <sheetData>
    <row r="1" spans="1:10" ht="12.75">
      <c r="A1" s="645"/>
      <c r="B1" s="645"/>
      <c r="C1" s="645"/>
      <c r="D1" s="645"/>
      <c r="E1" s="645"/>
      <c r="F1" s="645"/>
      <c r="G1" s="645"/>
      <c r="H1" s="645"/>
      <c r="I1" s="645"/>
      <c r="J1" s="645"/>
    </row>
    <row r="2" spans="1:10" ht="12.75">
      <c r="A2" s="645"/>
      <c r="B2" s="645"/>
      <c r="C2" s="645"/>
      <c r="D2" s="645"/>
      <c r="E2" s="645"/>
      <c r="F2" s="645"/>
      <c r="G2" s="645"/>
      <c r="H2" s="645"/>
      <c r="I2" s="645"/>
      <c r="J2" s="645"/>
    </row>
    <row r="3" spans="1:10" ht="12.75">
      <c r="A3" s="645"/>
      <c r="B3" s="645"/>
      <c r="C3" s="645"/>
      <c r="D3" s="645"/>
      <c r="E3" s="645"/>
      <c r="F3" s="645"/>
      <c r="G3" s="645"/>
      <c r="H3" s="645"/>
      <c r="I3" s="645"/>
      <c r="J3" s="645"/>
    </row>
    <row r="4" spans="1:10" ht="12.75">
      <c r="A4" s="645"/>
      <c r="B4" s="645"/>
      <c r="C4" s="645"/>
      <c r="D4" s="645"/>
      <c r="E4" s="645"/>
      <c r="F4" s="645"/>
      <c r="G4" s="645"/>
      <c r="H4" s="645"/>
      <c r="I4" s="645"/>
      <c r="J4" s="645"/>
    </row>
    <row r="5" spans="1:10" ht="12.75">
      <c r="A5" s="645"/>
      <c r="B5" s="645"/>
      <c r="C5" s="645"/>
      <c r="D5" s="645"/>
      <c r="E5" s="645"/>
      <c r="F5" s="645"/>
      <c r="G5" s="645"/>
      <c r="H5" s="645"/>
      <c r="I5" s="645"/>
      <c r="J5" s="645"/>
    </row>
    <row r="6" spans="1:10" ht="12.75">
      <c r="A6" s="645"/>
      <c r="B6" s="645"/>
      <c r="C6" s="645"/>
      <c r="D6" s="645"/>
      <c r="E6" s="645"/>
      <c r="F6" s="645"/>
      <c r="G6" s="645"/>
      <c r="H6" s="645"/>
      <c r="I6" s="645"/>
      <c r="J6" s="645"/>
    </row>
    <row r="7" spans="1:10" ht="12.75">
      <c r="A7" s="645"/>
      <c r="B7" s="645"/>
      <c r="C7" s="645"/>
      <c r="D7" s="645"/>
      <c r="E7" s="645"/>
      <c r="F7" s="645"/>
      <c r="G7" s="645"/>
      <c r="H7" s="645"/>
      <c r="I7" s="645"/>
      <c r="J7" s="645"/>
    </row>
    <row r="8" spans="1:10" ht="12.75">
      <c r="A8" s="645"/>
      <c r="B8" s="645"/>
      <c r="C8" s="645"/>
      <c r="D8" s="645"/>
      <c r="E8" s="645"/>
      <c r="F8" s="645"/>
      <c r="G8" s="645"/>
      <c r="H8" s="645"/>
      <c r="I8" s="645"/>
      <c r="J8" s="645"/>
    </row>
    <row r="9" spans="1:10" ht="12.75">
      <c r="A9" s="645"/>
      <c r="B9" s="645"/>
      <c r="C9" s="645"/>
      <c r="D9" s="645"/>
      <c r="E9" s="645"/>
      <c r="F9" s="645"/>
      <c r="G9" s="645"/>
      <c r="H9" s="645"/>
      <c r="I9" s="645"/>
      <c r="J9" s="645"/>
    </row>
    <row r="10" spans="1:10" ht="12.75">
      <c r="A10" s="645"/>
      <c r="B10" s="645"/>
      <c r="C10" s="645"/>
      <c r="D10" s="645"/>
      <c r="E10" s="645"/>
      <c r="F10" s="645"/>
      <c r="G10" s="645"/>
      <c r="H10" s="645"/>
      <c r="I10" s="645"/>
      <c r="J10" s="645"/>
    </row>
    <row r="11" spans="1:10" ht="12.75">
      <c r="A11" s="645"/>
      <c r="B11" s="645"/>
      <c r="C11" s="645"/>
      <c r="D11" s="645"/>
      <c r="E11" s="645"/>
      <c r="F11" s="645"/>
      <c r="G11" s="645"/>
      <c r="H11" s="645"/>
      <c r="I11" s="645"/>
      <c r="J11" s="645"/>
    </row>
    <row r="12" spans="1:10" ht="12.75">
      <c r="A12" s="645"/>
      <c r="B12" s="645"/>
      <c r="C12" s="645"/>
      <c r="D12" s="645"/>
      <c r="E12" s="645"/>
      <c r="F12" s="645"/>
      <c r="G12" s="645"/>
      <c r="H12" s="645"/>
      <c r="I12" s="645"/>
      <c r="J12" s="645"/>
    </row>
    <row r="13" spans="1:10" ht="12.75">
      <c r="A13" s="645"/>
      <c r="B13" s="645"/>
      <c r="C13" s="645"/>
      <c r="D13" s="645"/>
      <c r="E13" s="645"/>
      <c r="F13" s="645"/>
      <c r="G13" s="645"/>
      <c r="H13" s="645"/>
      <c r="I13" s="645"/>
      <c r="J13" s="645"/>
    </row>
    <row r="14" spans="1:10" ht="12.75">
      <c r="A14" s="645"/>
      <c r="B14" s="645"/>
      <c r="C14" s="645"/>
      <c r="D14" s="645"/>
      <c r="E14" s="645"/>
      <c r="F14" s="645"/>
      <c r="G14" s="645"/>
      <c r="H14" s="645"/>
      <c r="I14" s="645"/>
      <c r="J14" s="645"/>
    </row>
    <row r="15" spans="1:10" ht="12.75">
      <c r="A15" s="645"/>
      <c r="B15" s="645"/>
      <c r="C15" s="645"/>
      <c r="D15" s="645"/>
      <c r="E15" s="645"/>
      <c r="F15" s="645"/>
      <c r="G15" s="645"/>
      <c r="H15" s="645"/>
      <c r="I15" s="645"/>
      <c r="J15" s="645"/>
    </row>
    <row r="16" spans="1:10" ht="12.75">
      <c r="A16" s="645"/>
      <c r="B16" s="645"/>
      <c r="C16" s="645"/>
      <c r="D16" s="645"/>
      <c r="E16" s="645"/>
      <c r="F16" s="645"/>
      <c r="G16" s="645"/>
      <c r="H16" s="645"/>
      <c r="I16" s="645"/>
      <c r="J16" s="645"/>
    </row>
    <row r="17" spans="1:10" ht="12.75">
      <c r="A17" s="645"/>
      <c r="B17" s="645"/>
      <c r="C17" s="645"/>
      <c r="D17" s="645"/>
      <c r="E17" s="645"/>
      <c r="F17" s="645"/>
      <c r="G17" s="645"/>
      <c r="H17" s="645"/>
      <c r="I17" s="645"/>
      <c r="J17" s="645"/>
    </row>
    <row r="18" spans="1:10" ht="12.75">
      <c r="A18" s="645"/>
      <c r="B18" s="645"/>
      <c r="C18" s="645"/>
      <c r="D18" s="645"/>
      <c r="E18" s="645"/>
      <c r="F18" s="645"/>
      <c r="G18" s="645"/>
      <c r="H18" s="645"/>
      <c r="I18" s="645"/>
      <c r="J18" s="645"/>
    </row>
    <row r="19" spans="1:10" ht="12.75">
      <c r="A19" s="645"/>
      <c r="B19" s="645"/>
      <c r="C19" s="645"/>
      <c r="D19" s="645"/>
      <c r="E19" s="645"/>
      <c r="F19" s="645"/>
      <c r="G19" s="645"/>
      <c r="H19" s="645"/>
      <c r="I19" s="645"/>
      <c r="J19" s="645"/>
    </row>
    <row r="20" spans="1:10" ht="12.75">
      <c r="A20" s="645"/>
      <c r="B20" s="645"/>
      <c r="C20" s="645"/>
      <c r="D20" s="645"/>
      <c r="E20" s="645"/>
      <c r="F20" s="645"/>
      <c r="G20" s="645"/>
      <c r="H20" s="645"/>
      <c r="I20" s="645"/>
      <c r="J20" s="645"/>
    </row>
    <row r="21" spans="1:10" ht="12.75">
      <c r="A21" s="645"/>
      <c r="B21" s="645"/>
      <c r="C21" s="645"/>
      <c r="D21" s="645"/>
      <c r="E21" s="645"/>
      <c r="F21" s="645"/>
      <c r="G21" s="645"/>
      <c r="H21" s="645"/>
      <c r="I21" s="645"/>
      <c r="J21" s="645"/>
    </row>
    <row r="22" spans="1:10" ht="12.75">
      <c r="A22" s="645"/>
      <c r="B22" s="645"/>
      <c r="C22" s="645"/>
      <c r="D22" s="645"/>
      <c r="E22" s="645"/>
      <c r="F22" s="645"/>
      <c r="G22" s="645"/>
      <c r="H22" s="645"/>
      <c r="I22" s="645"/>
      <c r="J22" s="645"/>
    </row>
    <row r="23" spans="1:10" ht="12.75">
      <c r="A23" s="645"/>
      <c r="B23" s="645"/>
      <c r="C23" s="645"/>
      <c r="D23" s="645"/>
      <c r="E23" s="645"/>
      <c r="F23" s="645"/>
      <c r="G23" s="645"/>
      <c r="H23" s="645"/>
      <c r="I23" s="645"/>
      <c r="J23" s="645"/>
    </row>
    <row r="24" spans="1:10" ht="12.75">
      <c r="A24" s="645"/>
      <c r="B24" s="645"/>
      <c r="C24" s="645"/>
      <c r="D24" s="645"/>
      <c r="E24" s="645"/>
      <c r="F24" s="645"/>
      <c r="G24" s="645"/>
      <c r="H24" s="645"/>
      <c r="I24" s="645"/>
      <c r="J24" s="645"/>
    </row>
    <row r="25" spans="1:10" ht="12.75">
      <c r="A25" s="645"/>
      <c r="B25" s="645"/>
      <c r="C25" s="645"/>
      <c r="D25" s="645"/>
      <c r="E25" s="645"/>
      <c r="F25" s="645"/>
      <c r="G25" s="645"/>
      <c r="H25" s="645"/>
      <c r="I25" s="645"/>
      <c r="J25" s="645"/>
    </row>
    <row r="26" spans="1:10" ht="12.75">
      <c r="A26" s="645"/>
      <c r="B26" s="645"/>
      <c r="C26" s="645"/>
      <c r="D26" s="645"/>
      <c r="E26" s="645"/>
      <c r="F26" s="645"/>
      <c r="G26" s="645"/>
      <c r="H26" s="645"/>
      <c r="I26" s="645"/>
      <c r="J26" s="645"/>
    </row>
    <row r="27" spans="1:10" ht="12.75">
      <c r="A27" s="645"/>
      <c r="B27" s="645"/>
      <c r="C27" s="645"/>
      <c r="D27" s="645"/>
      <c r="E27" s="645"/>
      <c r="F27" s="645"/>
      <c r="G27" s="645"/>
      <c r="H27" s="645"/>
      <c r="I27" s="645"/>
      <c r="J27" s="645"/>
    </row>
    <row r="28" spans="1:10" ht="71.25" customHeight="1">
      <c r="A28" s="645"/>
      <c r="B28" s="645"/>
      <c r="C28" s="645"/>
      <c r="D28" s="645"/>
      <c r="E28" s="645"/>
      <c r="F28" s="645"/>
      <c r="G28" s="645"/>
      <c r="H28" s="645"/>
      <c r="I28" s="645"/>
      <c r="J28" s="645"/>
    </row>
    <row r="29" spans="1:10" ht="12.75">
      <c r="A29" s="645"/>
      <c r="B29" s="645"/>
      <c r="C29" s="645"/>
      <c r="D29" s="645"/>
      <c r="E29" s="645"/>
      <c r="F29" s="645"/>
      <c r="G29" s="645"/>
      <c r="H29" s="645"/>
      <c r="I29" s="645"/>
      <c r="J29" s="645"/>
    </row>
    <row r="30" spans="1:10" s="561" customFormat="1" ht="33" customHeight="1">
      <c r="A30" s="645"/>
      <c r="B30" s="645"/>
      <c r="C30" s="645"/>
      <c r="D30" s="645"/>
      <c r="E30" s="645"/>
      <c r="F30" s="645"/>
      <c r="G30" s="645"/>
      <c r="H30" s="645"/>
      <c r="I30" s="645"/>
      <c r="J30" s="645"/>
    </row>
    <row r="31" spans="2:6" ht="12.75">
      <c r="B31" t="s">
        <v>73</v>
      </c>
      <c r="C31" t="s">
        <v>76</v>
      </c>
      <c r="D31" t="s">
        <v>79</v>
      </c>
      <c r="F31" t="s">
        <v>47</v>
      </c>
    </row>
    <row r="33" spans="1:6" ht="12.75">
      <c r="A33" t="s">
        <v>285</v>
      </c>
      <c r="B33" s="250">
        <f aca="true" ca="1" t="shared" si="0" ref="B33:B45">(INDIRECT(CONCATENATE("'",$A33,"'","!AO14")))</f>
        <v>46738330.589999996</v>
      </c>
      <c r="C33" s="250">
        <f aca="true" ca="1" t="shared" si="1" ref="C33:C45">(INDIRECT(CONCATENATE("'",$A33,"'","!AO15")))</f>
        <v>163230837.32546312</v>
      </c>
      <c r="D33" s="250">
        <f aca="true" ca="1" t="shared" si="2" ref="D33:D45">(INDIRECT(CONCATENATE("'",$A33,"'","!AO16")))</f>
        <v>2505805.2649729857</v>
      </c>
      <c r="E33" s="250"/>
      <c r="F33" s="250">
        <f aca="true" t="shared" si="3" ref="F33:F45">SUM(B33:E33)</f>
        <v>212474973.1804361</v>
      </c>
    </row>
    <row r="34" spans="1:6" ht="12.75">
      <c r="A34" t="s">
        <v>256</v>
      </c>
      <c r="B34" s="250">
        <f ca="1" t="shared" si="0"/>
        <v>3080000</v>
      </c>
      <c r="C34" s="250">
        <f ca="1" t="shared" si="1"/>
        <v>44729616.22395024</v>
      </c>
      <c r="D34" s="250">
        <f ca="1" t="shared" si="2"/>
        <v>0</v>
      </c>
      <c r="E34" s="250"/>
      <c r="F34" s="250">
        <f t="shared" si="3"/>
        <v>47809616.22395024</v>
      </c>
    </row>
    <row r="35" spans="1:6" ht="12.75">
      <c r="A35" t="s">
        <v>242</v>
      </c>
      <c r="B35" s="250">
        <f ca="1">(INDIRECT(CONCATENATE("'",$A35,"'","!AO14")))</f>
        <v>34786619.71830986</v>
      </c>
      <c r="C35" s="250">
        <f ca="1">(INDIRECT(CONCATENATE("'",$A35,"'","!AO15")))</f>
        <v>4978500</v>
      </c>
      <c r="D35" s="250">
        <f ca="1">(INDIRECT(CONCATENATE("'",$A35,"'","!AO16")))</f>
        <v>1500000</v>
      </c>
      <c r="E35" s="250"/>
      <c r="F35" s="250">
        <f>SUM(B35:E35)</f>
        <v>41265119.71830986</v>
      </c>
    </row>
    <row r="36" spans="1:6" ht="12.75">
      <c r="A36" t="s">
        <v>1</v>
      </c>
      <c r="B36" s="250">
        <f ca="1">(INDIRECT(CONCATENATE("'",$A36,"'","!AO14")))</f>
        <v>6923153.96578538</v>
      </c>
      <c r="C36" s="250">
        <f ca="1">(INDIRECT(CONCATENATE("'",$A36,"'","!AO15")))</f>
        <v>31760044.790046655</v>
      </c>
      <c r="D36" s="250">
        <f ca="1">(INDIRECT(CONCATENATE("'",$A36,"'","!AO16")))</f>
        <v>693900</v>
      </c>
      <c r="E36" s="250"/>
      <c r="F36" s="250">
        <f>SUM(B36:E36)</f>
        <v>39377098.75583203</v>
      </c>
    </row>
    <row r="37" spans="1:6" ht="12.75">
      <c r="A37" t="s">
        <v>122</v>
      </c>
      <c r="B37" s="250">
        <f ca="1" t="shared" si="0"/>
        <v>6802529.334762668</v>
      </c>
      <c r="C37" s="250">
        <f ca="1" t="shared" si="1"/>
        <v>25807563.21189923</v>
      </c>
      <c r="D37" s="250">
        <f ca="1" t="shared" si="2"/>
        <v>303010.0992123599</v>
      </c>
      <c r="E37" s="250"/>
      <c r="F37" s="250">
        <f t="shared" si="3"/>
        <v>32913102.645874258</v>
      </c>
    </row>
    <row r="38" spans="1:6" ht="12.75">
      <c r="A38" t="s">
        <v>239</v>
      </c>
      <c r="B38" s="250">
        <f ca="1" t="shared" si="0"/>
        <v>13023000</v>
      </c>
      <c r="C38" s="250">
        <f ca="1" t="shared" si="1"/>
        <v>10230600</v>
      </c>
      <c r="D38" s="250">
        <f ca="1" t="shared" si="2"/>
        <v>7016999.999999999</v>
      </c>
      <c r="E38" s="250"/>
      <c r="F38" s="250">
        <f>SUM(B38:E38)</f>
        <v>30270600</v>
      </c>
    </row>
    <row r="39" spans="1:6" ht="12.75">
      <c r="A39" t="s">
        <v>240</v>
      </c>
      <c r="B39" s="250">
        <f ca="1" t="shared" si="0"/>
        <v>6929323</v>
      </c>
      <c r="C39" s="250">
        <f ca="1" t="shared" si="1"/>
        <v>7025394.062830482</v>
      </c>
      <c r="D39" s="250">
        <f ca="1" t="shared" si="2"/>
        <v>488250</v>
      </c>
      <c r="E39" s="250"/>
      <c r="F39" s="250">
        <f t="shared" si="3"/>
        <v>14442967.062830482</v>
      </c>
    </row>
    <row r="40" spans="1:6" ht="12.75">
      <c r="A40" t="s">
        <v>238</v>
      </c>
      <c r="B40" s="250">
        <f ca="1" t="shared" si="0"/>
        <v>5036000</v>
      </c>
      <c r="C40" s="250">
        <f ca="1" t="shared" si="1"/>
        <v>2903000</v>
      </c>
      <c r="D40" s="250">
        <f ca="1">(INDIRECT(CONCATENATE("'",$A40,"'","!AO16")))</f>
        <v>0</v>
      </c>
      <c r="E40" s="250"/>
      <c r="F40" s="250">
        <f t="shared" si="3"/>
        <v>7939000</v>
      </c>
    </row>
    <row r="41" spans="1:6" ht="12.75">
      <c r="A41" t="s">
        <v>127</v>
      </c>
      <c r="B41" s="250">
        <f ca="1" t="shared" si="0"/>
        <v>3128000</v>
      </c>
      <c r="C41" s="250">
        <f ca="1" t="shared" si="1"/>
        <v>2386500</v>
      </c>
      <c r="D41" s="250">
        <f ca="1" t="shared" si="2"/>
        <v>258300</v>
      </c>
      <c r="E41" s="250"/>
      <c r="F41" s="250">
        <f t="shared" si="3"/>
        <v>5772800</v>
      </c>
    </row>
    <row r="42" spans="1:6" ht="12.75">
      <c r="A42" t="s">
        <v>271</v>
      </c>
      <c r="B42" s="250">
        <f ca="1" t="shared" si="0"/>
        <v>1934800</v>
      </c>
      <c r="C42" s="250">
        <f ca="1" t="shared" si="1"/>
        <v>1250004</v>
      </c>
      <c r="D42" s="250">
        <f ca="1" t="shared" si="2"/>
        <v>600000</v>
      </c>
      <c r="E42" s="250"/>
      <c r="F42" s="250">
        <f t="shared" si="3"/>
        <v>3784804</v>
      </c>
    </row>
    <row r="43" spans="1:6" ht="12.75">
      <c r="A43" t="s">
        <v>280</v>
      </c>
      <c r="B43" s="250">
        <f ca="1" t="shared" si="0"/>
        <v>1484200</v>
      </c>
      <c r="C43" s="250">
        <f ca="1" t="shared" si="1"/>
        <v>1724440</v>
      </c>
      <c r="D43" s="250">
        <f ca="1" t="shared" si="2"/>
        <v>0</v>
      </c>
      <c r="E43" s="250"/>
      <c r="F43" s="250">
        <f t="shared" si="3"/>
        <v>3208640</v>
      </c>
    </row>
    <row r="44" spans="1:6" ht="12.75">
      <c r="A44" t="s">
        <v>281</v>
      </c>
      <c r="B44" s="250">
        <f ca="1" t="shared" si="0"/>
        <v>1591162</v>
      </c>
      <c r="C44" s="250">
        <f ca="1" t="shared" si="1"/>
        <v>596381</v>
      </c>
      <c r="D44" s="250">
        <f ca="1" t="shared" si="2"/>
        <v>26058</v>
      </c>
      <c r="E44" s="250"/>
      <c r="F44" s="250">
        <f t="shared" si="3"/>
        <v>2213601</v>
      </c>
    </row>
    <row r="45" spans="1:6" ht="12.75">
      <c r="A45" t="s">
        <v>284</v>
      </c>
      <c r="B45" s="250">
        <f ca="1" t="shared" si="0"/>
        <v>312500</v>
      </c>
      <c r="C45" s="250">
        <f ca="1" t="shared" si="1"/>
        <v>1387000</v>
      </c>
      <c r="D45" s="250">
        <f ca="1" t="shared" si="2"/>
        <v>262500</v>
      </c>
      <c r="E45" s="250"/>
      <c r="F45" s="250">
        <f t="shared" si="3"/>
        <v>1962000</v>
      </c>
    </row>
    <row r="46" spans="1:6" ht="12.75">
      <c r="A46" t="s">
        <v>199</v>
      </c>
      <c r="B46" s="250">
        <f ca="1">(INDIRECT(CONCATENATE("'",$A46,"'","!AO14")))</f>
        <v>580100</v>
      </c>
      <c r="C46" s="250">
        <f ca="1">(INDIRECT(CONCATENATE("'",$A46,"'","!AO15")))</f>
        <v>532000</v>
      </c>
      <c r="D46" s="250">
        <f ca="1">(INDIRECT(CONCATENATE("'",$A46,"'","!AO16")))</f>
        <v>450000</v>
      </c>
      <c r="E46" s="250"/>
      <c r="F46" s="250">
        <f>SUM(B46:E46)</f>
        <v>1562100</v>
      </c>
    </row>
    <row r="47" spans="2:4" ht="12.75">
      <c r="B47" s="250"/>
      <c r="C47" s="250"/>
      <c r="D47" s="250"/>
    </row>
    <row r="48" spans="2:4" ht="12.75">
      <c r="B48" s="250"/>
      <c r="C48" s="250"/>
      <c r="D48" s="250"/>
    </row>
    <row r="49" spans="2:4" ht="12.75">
      <c r="B49" s="250"/>
      <c r="C49" s="250"/>
      <c r="D49" s="250"/>
    </row>
    <row r="50" spans="2:4" ht="12.75">
      <c r="B50" s="250"/>
      <c r="C50" s="250"/>
      <c r="D50" s="250"/>
    </row>
    <row r="51" spans="2:4" ht="12.75">
      <c r="B51" s="250"/>
      <c r="C51" s="250"/>
      <c r="D51" s="250"/>
    </row>
    <row r="52" spans="2:4" ht="12.75">
      <c r="B52" s="250"/>
      <c r="C52" s="250"/>
      <c r="D52" s="250"/>
    </row>
    <row r="53" spans="2:4" ht="12.75">
      <c r="B53" s="250"/>
      <c r="C53" s="250"/>
      <c r="D53" s="250"/>
    </row>
    <row r="54" spans="2:4" ht="12.75">
      <c r="B54" s="250"/>
      <c r="C54" s="250"/>
      <c r="D54" s="250"/>
    </row>
    <row r="55" spans="2:4" ht="12.75">
      <c r="B55" s="250"/>
      <c r="C55" s="250"/>
      <c r="D55" s="250"/>
    </row>
    <row r="56" spans="2:4" ht="12.75">
      <c r="B56" s="250"/>
      <c r="C56" s="250"/>
      <c r="D56" s="250"/>
    </row>
    <row r="57" spans="2:5" ht="12.75">
      <c r="B57" s="250"/>
      <c r="C57" s="250"/>
      <c r="D57" s="250"/>
      <c r="E57" s="250"/>
    </row>
    <row r="58" spans="2:5" ht="12.75">
      <c r="B58" s="250"/>
      <c r="C58" s="250"/>
      <c r="D58" s="250"/>
      <c r="E58" s="250"/>
    </row>
    <row r="59" spans="2:5" ht="12.75">
      <c r="B59" s="250"/>
      <c r="C59" s="250"/>
      <c r="D59" s="250"/>
      <c r="E59" s="250"/>
    </row>
    <row r="60" spans="2:5" ht="12.75">
      <c r="B60" s="250"/>
      <c r="C60" s="250"/>
      <c r="D60" s="250"/>
      <c r="E60" s="250"/>
    </row>
    <row r="61" spans="2:5" ht="12.75">
      <c r="B61" s="250"/>
      <c r="C61" s="250"/>
      <c r="D61" s="250"/>
      <c r="E61" s="250"/>
    </row>
    <row r="62" spans="2:5" ht="12.75">
      <c r="B62" s="250"/>
      <c r="C62" s="250"/>
      <c r="D62" s="250"/>
      <c r="E62" s="250"/>
    </row>
    <row r="63" spans="2:5" ht="12.75">
      <c r="B63" s="250"/>
      <c r="C63" s="250"/>
      <c r="D63" s="250"/>
      <c r="E63" s="250"/>
    </row>
    <row r="64" spans="2:5" ht="12.75">
      <c r="B64" s="250"/>
      <c r="C64" s="250"/>
      <c r="D64" s="250"/>
      <c r="E64" s="250"/>
    </row>
    <row r="65" spans="2:5" ht="12.75">
      <c r="B65" s="250"/>
      <c r="C65" s="250"/>
      <c r="D65" s="250"/>
      <c r="E65" s="250"/>
    </row>
    <row r="66" spans="2:5" ht="12.75">
      <c r="B66" s="250"/>
      <c r="C66" s="250"/>
      <c r="D66" s="250"/>
      <c r="E66" s="250"/>
    </row>
    <row r="67" spans="2:5" ht="12.75">
      <c r="B67" s="250"/>
      <c r="C67" s="250"/>
      <c r="D67" s="250"/>
      <c r="E67" s="250"/>
    </row>
    <row r="68" spans="2:5" ht="12.75">
      <c r="B68" s="250"/>
      <c r="C68" s="250"/>
      <c r="D68" s="250"/>
      <c r="E68" s="250"/>
    </row>
    <row r="69" ht="12.75">
      <c r="A69" t="s">
        <v>469</v>
      </c>
    </row>
    <row r="70" ht="12.75">
      <c r="E70" s="250"/>
    </row>
    <row r="71" spans="2:4" ht="12.75">
      <c r="B71" t="s">
        <v>73</v>
      </c>
      <c r="C71" t="s">
        <v>76</v>
      </c>
      <c r="D71" t="s">
        <v>79</v>
      </c>
    </row>
    <row r="72" spans="1:6" ht="12.75">
      <c r="A72" t="s">
        <v>122</v>
      </c>
      <c r="B72" s="1163">
        <f aca="true" ca="1" t="shared" si="4" ref="B72:B85">(INDIRECT(CONCATENATE("'",$A72,"'","!AO14")))/(INDIRECT(CONCATENATE("'",$A72,"'","!AL9")))</f>
        <v>1.3003337049559214</v>
      </c>
      <c r="C72" s="1163">
        <f ca="1">(INDIRECT(CONCATENATE("'",$A72,"'","!AO15")))/(INDIRECT(CONCATENATE("'",$A72,"'","!AL9")))</f>
        <v>4.933230367081375</v>
      </c>
      <c r="D72" s="1163">
        <f aca="true" ca="1" t="shared" si="5" ref="D72:D77">(INDIRECT(CONCATENATE("'",$A72,"'","!AO16")))/(INDIRECT(CONCATENATE("'",$A72,"'","!AL9")))</f>
        <v>0.05792172669279874</v>
      </c>
      <c r="F72" s="1163">
        <f aca="true" t="shared" si="6" ref="F72:F85">SUM(B72:D72)</f>
        <v>6.291485798730095</v>
      </c>
    </row>
    <row r="73" spans="1:6" ht="12.75">
      <c r="A73" t="s">
        <v>1</v>
      </c>
      <c r="B73" s="1163">
        <f ca="1" t="shared" si="4"/>
        <v>0.7678234630658156</v>
      </c>
      <c r="C73" s="1163">
        <f aca="true" ca="1" t="shared" si="7" ref="C73:C85">(INDIRECT(CONCATENATE("'",$A73,"'","!AO15")))/(INDIRECT(CONCATENATE("'",$A73,"'","!AL9")))</f>
        <v>3.522398562611284</v>
      </c>
      <c r="D73" s="1163">
        <f ca="1" t="shared" si="5"/>
        <v>0.07695808928336148</v>
      </c>
      <c r="F73" s="1163">
        <f t="shared" si="6"/>
        <v>4.367180114960461</v>
      </c>
    </row>
    <row r="74" spans="1:6" ht="12.75">
      <c r="A74" t="s">
        <v>240</v>
      </c>
      <c r="B74" s="1163">
        <f ca="1" t="shared" si="4"/>
        <v>0.8457737694193007</v>
      </c>
      <c r="C74" s="1163">
        <f ca="1" t="shared" si="7"/>
        <v>0.8574999344345922</v>
      </c>
      <c r="D74" s="1163">
        <f ca="1" t="shared" si="5"/>
        <v>0.059594428332893926</v>
      </c>
      <c r="F74" s="1163">
        <f t="shared" si="6"/>
        <v>1.7628681321867867</v>
      </c>
    </row>
    <row r="75" spans="1:6" ht="12.75">
      <c r="A75" t="s">
        <v>127</v>
      </c>
      <c r="B75" s="1163">
        <f ca="1" t="shared" si="4"/>
        <v>0.6784042751614681</v>
      </c>
      <c r="C75" s="1163">
        <f ca="1" t="shared" si="7"/>
        <v>0.5175868934376098</v>
      </c>
      <c r="D75" s="1163">
        <f ca="1" t="shared" si="5"/>
        <v>0.05602040417973376</v>
      </c>
      <c r="F75" s="1163">
        <f t="shared" si="6"/>
        <v>1.2520115727788117</v>
      </c>
    </row>
    <row r="76" spans="1:6" ht="12.75">
      <c r="A76" t="s">
        <v>281</v>
      </c>
      <c r="B76" s="1163">
        <f ca="1" t="shared" si="4"/>
        <v>0.7914862459068012</v>
      </c>
      <c r="C76" s="1163">
        <f ca="1" t="shared" si="7"/>
        <v>0.29665575146977113</v>
      </c>
      <c r="D76" s="1163">
        <f ca="1" t="shared" si="5"/>
        <v>0.012961941396186828</v>
      </c>
      <c r="F76" s="1163">
        <f t="shared" si="6"/>
        <v>1.101103938772759</v>
      </c>
    </row>
    <row r="77" spans="1:6" ht="12.75">
      <c r="A77" t="s">
        <v>280</v>
      </c>
      <c r="B77" s="1163">
        <f ca="1" t="shared" si="4"/>
        <v>0.41389818918845056</v>
      </c>
      <c r="C77" s="1163">
        <f ca="1" t="shared" si="7"/>
        <v>0.4808938103787439</v>
      </c>
      <c r="D77" s="1163">
        <f ca="1" t="shared" si="5"/>
        <v>0</v>
      </c>
      <c r="F77" s="1163">
        <f t="shared" si="6"/>
        <v>0.8947919995671945</v>
      </c>
    </row>
    <row r="78" spans="1:6" ht="12.75">
      <c r="A78" t="s">
        <v>256</v>
      </c>
      <c r="B78" s="1163">
        <f ca="1" t="shared" si="4"/>
        <v>0.09305436199572845</v>
      </c>
      <c r="C78" s="1163">
        <f ca="1" t="shared" si="7"/>
        <v>1.3513915259848939</v>
      </c>
      <c r="D78" s="1163">
        <v>0</v>
      </c>
      <c r="F78" s="1163">
        <f t="shared" si="6"/>
        <v>1.4444458879806223</v>
      </c>
    </row>
    <row r="79" spans="1:6" ht="12.75">
      <c r="A79" t="s">
        <v>238</v>
      </c>
      <c r="B79" s="1163">
        <f ca="1" t="shared" si="4"/>
        <v>0.4920152548176901</v>
      </c>
      <c r="C79" s="1163">
        <f ca="1" t="shared" si="7"/>
        <v>0.2836219787005072</v>
      </c>
      <c r="D79" s="1163">
        <f aca="true" ca="1" t="shared" si="8" ref="D79:D85">(INDIRECT(CONCATENATE("'",$A79,"'","!AO16")))/(INDIRECT(CONCATENATE("'",$A79,"'","!AL9")))</f>
        <v>0</v>
      </c>
      <c r="F79" s="1163">
        <f t="shared" si="6"/>
        <v>0.7756372335181974</v>
      </c>
    </row>
    <row r="80" spans="1:6" ht="12.75">
      <c r="A80" t="s">
        <v>468</v>
      </c>
      <c r="B80" s="1163" t="e">
        <f ca="1" t="shared" si="4"/>
        <v>#REF!</v>
      </c>
      <c r="C80" s="1163" t="e">
        <f ca="1" t="shared" si="7"/>
        <v>#REF!</v>
      </c>
      <c r="D80" s="1163" t="e">
        <f ca="1" t="shared" si="8"/>
        <v>#REF!</v>
      </c>
      <c r="F80" s="1163" t="e">
        <f t="shared" si="6"/>
        <v>#REF!</v>
      </c>
    </row>
    <row r="81" spans="1:6" ht="12.75">
      <c r="A81" t="s">
        <v>285</v>
      </c>
      <c r="B81" s="1163">
        <f ca="1" t="shared" si="4"/>
        <v>0.15660658924147683</v>
      </c>
      <c r="C81" s="1163">
        <f ca="1" t="shared" si="7"/>
        <v>0.5469391903792242</v>
      </c>
      <c r="D81" s="1163">
        <f ca="1" t="shared" si="8"/>
        <v>0.008396226628058398</v>
      </c>
      <c r="F81" s="1163">
        <f t="shared" si="6"/>
        <v>0.7119420062487595</v>
      </c>
    </row>
    <row r="82" spans="1:6" ht="12.75">
      <c r="A82" t="s">
        <v>271</v>
      </c>
      <c r="B82" s="1163">
        <f ca="1" t="shared" si="4"/>
        <v>0.25715270761279935</v>
      </c>
      <c r="C82" s="1163">
        <f ca="1" t="shared" si="7"/>
        <v>0.16613702353050944</v>
      </c>
      <c r="D82" s="1163">
        <f ca="1" t="shared" si="8"/>
        <v>0.07974551610899298</v>
      </c>
      <c r="F82" s="1163">
        <f t="shared" si="6"/>
        <v>0.5030352472523018</v>
      </c>
    </row>
    <row r="83" spans="1:6" ht="12.75">
      <c r="A83" t="s">
        <v>467</v>
      </c>
      <c r="B83" s="1163" t="e">
        <f ca="1" t="shared" si="4"/>
        <v>#REF!</v>
      </c>
      <c r="C83" s="1163" t="e">
        <f ca="1" t="shared" si="7"/>
        <v>#REF!</v>
      </c>
      <c r="D83" s="1163" t="e">
        <f ca="1" t="shared" si="8"/>
        <v>#REF!</v>
      </c>
      <c r="F83" s="1163" t="e">
        <f t="shared" si="6"/>
        <v>#REF!</v>
      </c>
    </row>
    <row r="84" spans="1:6" ht="12.75">
      <c r="A84" t="s">
        <v>284</v>
      </c>
      <c r="B84" s="1163">
        <f ca="1" t="shared" si="4"/>
        <v>0.01894920043772956</v>
      </c>
      <c r="C84" s="1163">
        <f ca="1" t="shared" si="7"/>
        <v>0.08410413122281889</v>
      </c>
      <c r="D84" s="1163">
        <f ca="1" t="shared" si="8"/>
        <v>0.015917328367692832</v>
      </c>
      <c r="F84" s="1163">
        <f t="shared" si="6"/>
        <v>0.11897066002824128</v>
      </c>
    </row>
    <row r="85" spans="1:6" ht="12.75">
      <c r="A85" t="s">
        <v>199</v>
      </c>
      <c r="B85" s="1163">
        <f ca="1" t="shared" si="4"/>
        <v>0.00957116163626309</v>
      </c>
      <c r="C85" s="1163">
        <f ca="1" t="shared" si="7"/>
        <v>0.008777552129791354</v>
      </c>
      <c r="D85" s="1163">
        <f ca="1" t="shared" si="8"/>
        <v>0.007424621162417498</v>
      </c>
      <c r="F85" s="1163">
        <f t="shared" si="6"/>
        <v>0.025773334928471944</v>
      </c>
    </row>
    <row r="92" spans="2:3" ht="12.75">
      <c r="B92" t="s">
        <v>470</v>
      </c>
      <c r="C92" t="s">
        <v>471</v>
      </c>
    </row>
    <row r="93" spans="1:3" ht="12.75">
      <c r="A93" t="s">
        <v>122</v>
      </c>
      <c r="C93" s="654">
        <f ca="1">((INDIRECT(CONCATENATE("'",$A93,"'","!AO15")))/(INDIRECT(CONCATENATE("'",$A93,"'","!AL9"))))/((INDIRECT(CONCATENATE("'",$A93,"'","!AO15")))/(INDIRECT(CONCATENATE("'",$A93,"'","!AL9"))))</f>
        <v>1</v>
      </c>
    </row>
    <row r="94" spans="1:3" ht="12.75">
      <c r="A94" t="s">
        <v>1</v>
      </c>
      <c r="C94" s="654">
        <f aca="true" ca="1" t="shared" si="9" ref="C94:C106">(INDIRECT(CONCATENATE("'",$A94,"'","!AO15")))/(INDIRECT(CONCATENATE("'",$A94,"'","!AL9")))</f>
        <v>3.522398562611284</v>
      </c>
    </row>
    <row r="95" spans="1:3" ht="12.75">
      <c r="A95" t="s">
        <v>240</v>
      </c>
      <c r="C95" s="654">
        <f ca="1" t="shared" si="9"/>
        <v>0.8574999344345922</v>
      </c>
    </row>
    <row r="96" spans="1:3" ht="12.75">
      <c r="A96" t="s">
        <v>127</v>
      </c>
      <c r="C96" s="654">
        <f ca="1" t="shared" si="9"/>
        <v>0.5175868934376098</v>
      </c>
    </row>
    <row r="97" spans="1:3" ht="12.75">
      <c r="A97" t="s">
        <v>281</v>
      </c>
      <c r="C97" s="654">
        <f ca="1" t="shared" si="9"/>
        <v>0.29665575146977113</v>
      </c>
    </row>
    <row r="98" spans="1:3" ht="12.75">
      <c r="A98" t="s">
        <v>280</v>
      </c>
      <c r="C98" s="654">
        <f ca="1" t="shared" si="9"/>
        <v>0.4808938103787439</v>
      </c>
    </row>
    <row r="99" spans="1:3" ht="12.75">
      <c r="A99" t="s">
        <v>256</v>
      </c>
      <c r="C99" s="654">
        <f ca="1" t="shared" si="9"/>
        <v>1.3513915259848939</v>
      </c>
    </row>
    <row r="100" spans="1:3" ht="12.75">
      <c r="A100" t="s">
        <v>238</v>
      </c>
      <c r="C100" s="654">
        <f ca="1" t="shared" si="9"/>
        <v>0.2836219787005072</v>
      </c>
    </row>
    <row r="101" spans="1:3" ht="12.75">
      <c r="A101" t="s">
        <v>468</v>
      </c>
      <c r="C101" s="654" t="e">
        <f ca="1" t="shared" si="9"/>
        <v>#REF!</v>
      </c>
    </row>
    <row r="102" spans="1:3" ht="12.75">
      <c r="A102" t="s">
        <v>285</v>
      </c>
      <c r="C102" s="654">
        <f ca="1" t="shared" si="9"/>
        <v>0.5469391903792242</v>
      </c>
    </row>
    <row r="103" spans="1:3" ht="12.75">
      <c r="A103" t="s">
        <v>271</v>
      </c>
      <c r="C103" s="654">
        <f ca="1" t="shared" si="9"/>
        <v>0.16613702353050944</v>
      </c>
    </row>
    <row r="104" spans="1:3" ht="12.75">
      <c r="A104" t="s">
        <v>467</v>
      </c>
      <c r="C104" s="654" t="e">
        <f ca="1" t="shared" si="9"/>
        <v>#REF!</v>
      </c>
    </row>
    <row r="105" spans="1:3" ht="12.75">
      <c r="A105" t="s">
        <v>284</v>
      </c>
      <c r="C105" s="654">
        <f ca="1" t="shared" si="9"/>
        <v>0.08410413122281889</v>
      </c>
    </row>
    <row r="106" spans="1:3" ht="12.75">
      <c r="A106" t="s">
        <v>199</v>
      </c>
      <c r="C106" s="654">
        <f ca="1" t="shared" si="9"/>
        <v>0.008777552129791354</v>
      </c>
    </row>
  </sheetData>
  <printOptions/>
  <pageMargins left="0.75" right="0.75" top="1" bottom="1" header="0.4921259845" footer="0.4921259845"/>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4">
    <tabColor indexed="21"/>
  </sheetPr>
  <dimension ref="A1:AN794"/>
  <sheetViews>
    <sheetView showGridLines="0" zoomScale="95" zoomScaleNormal="95" zoomScaleSheetLayoutView="75" workbookViewId="0" topLeftCell="A1">
      <selection activeCell="A1" sqref="A1"/>
    </sheetView>
  </sheetViews>
  <sheetFormatPr defaultColWidth="9.140625" defaultRowHeight="12.75"/>
  <cols>
    <col min="1" max="1" width="16.57421875" style="0" customWidth="1"/>
    <col min="2" max="8" width="12.421875" style="0" customWidth="1"/>
    <col min="9" max="9" width="43.421875" style="0" customWidth="1"/>
    <col min="10" max="10" width="3.8515625" style="0" customWidth="1"/>
    <col min="11" max="11" width="18.8515625" style="0" hidden="1" customWidth="1"/>
    <col min="12" max="12" width="12.421875" style="555" hidden="1" customWidth="1"/>
    <col min="13" max="13" width="16.7109375" style="555" hidden="1" customWidth="1"/>
    <col min="14" max="14" width="17.7109375" style="555" hidden="1" customWidth="1"/>
    <col min="15" max="15" width="5.7109375" style="555" hidden="1" customWidth="1"/>
    <col min="16" max="16" width="11.7109375" style="555" hidden="1" customWidth="1"/>
    <col min="17" max="17" width="13.140625" style="555" hidden="1" customWidth="1"/>
    <col min="18" max="19" width="13.57421875" style="555" hidden="1" customWidth="1"/>
    <col min="20" max="20" width="12.00390625" style="452" hidden="1" customWidth="1"/>
    <col min="21" max="21" width="16.00390625" style="555" hidden="1" customWidth="1"/>
    <col min="22" max="22" width="13.57421875" style="555" hidden="1" customWidth="1"/>
    <col min="23" max="23" width="17.140625" style="0" hidden="1" customWidth="1"/>
    <col min="24" max="24" width="16.8515625" style="0" hidden="1" customWidth="1"/>
    <col min="25" max="25" width="19.8515625" style="0" hidden="1" customWidth="1"/>
    <col min="26" max="26" width="0" style="0" hidden="1" customWidth="1"/>
    <col min="27" max="27" width="11.28125" style="0" hidden="1" customWidth="1"/>
    <col min="28" max="28" width="13.57421875" style="0" hidden="1" customWidth="1"/>
    <col min="29" max="29" width="11.28125" style="0" hidden="1" customWidth="1"/>
    <col min="30" max="30" width="11.00390625" style="0" hidden="1" customWidth="1"/>
    <col min="31" max="31" width="12.00390625" style="250" hidden="1" customWidth="1"/>
    <col min="32" max="32" width="10.28125" style="0" hidden="1" customWidth="1"/>
    <col min="33" max="40" width="0" style="0" hidden="1" customWidth="1"/>
  </cols>
  <sheetData>
    <row r="1" spans="1:24" ht="11.25" customHeight="1" thickBot="1">
      <c r="A1" s="646">
        <v>0</v>
      </c>
      <c r="B1" s="646"/>
      <c r="C1" s="646"/>
      <c r="D1" s="646"/>
      <c r="E1" s="646"/>
      <c r="F1" s="646"/>
      <c r="G1" s="646"/>
      <c r="H1" s="646"/>
      <c r="I1" s="646"/>
      <c r="J1" s="379"/>
      <c r="L1"/>
      <c r="M1"/>
      <c r="W1" s="555"/>
      <c r="X1" s="555"/>
    </row>
    <row r="2" spans="1:27" ht="21.75" customHeight="1">
      <c r="A2" s="1329"/>
      <c r="B2" s="1335" t="s">
        <v>67</v>
      </c>
      <c r="C2" s="1334"/>
      <c r="D2" s="1332" t="s">
        <v>68</v>
      </c>
      <c r="E2" s="1334"/>
      <c r="F2" s="1332" t="s">
        <v>69</v>
      </c>
      <c r="G2" s="1333"/>
      <c r="H2" s="931" t="s">
        <v>47</v>
      </c>
      <c r="I2" s="1164"/>
      <c r="J2" s="560"/>
      <c r="K2" s="561"/>
      <c r="L2" s="1330" t="s">
        <v>360</v>
      </c>
      <c r="M2" s="1344" t="s">
        <v>361</v>
      </c>
      <c r="N2" s="1346" t="s">
        <v>365</v>
      </c>
      <c r="O2" s="590"/>
      <c r="P2" s="1348" t="s">
        <v>368</v>
      </c>
      <c r="Q2" s="1342" t="s">
        <v>369</v>
      </c>
      <c r="R2" s="1342" t="s">
        <v>366</v>
      </c>
      <c r="S2" s="1336" t="s">
        <v>367</v>
      </c>
      <c r="T2" s="1326" t="s">
        <v>382</v>
      </c>
      <c r="U2" s="1326" t="s">
        <v>383</v>
      </c>
      <c r="V2" s="616"/>
      <c r="W2" s="580"/>
      <c r="X2" s="580"/>
      <c r="Y2" s="1254" t="s">
        <v>364</v>
      </c>
      <c r="Z2" s="1254" t="s">
        <v>363</v>
      </c>
      <c r="AA2" s="1254" t="s">
        <v>362</v>
      </c>
    </row>
    <row r="3" spans="1:40" ht="30" customHeight="1" thickBot="1">
      <c r="A3" s="1329"/>
      <c r="B3" s="897" t="s">
        <v>421</v>
      </c>
      <c r="C3" s="898" t="s">
        <v>70</v>
      </c>
      <c r="D3" s="899" t="s">
        <v>421</v>
      </c>
      <c r="E3" s="898" t="s">
        <v>70</v>
      </c>
      <c r="F3" s="899" t="s">
        <v>421</v>
      </c>
      <c r="G3" s="900" t="s">
        <v>70</v>
      </c>
      <c r="H3" s="930" t="s">
        <v>421</v>
      </c>
      <c r="I3" s="1165"/>
      <c r="J3" s="562"/>
      <c r="K3" s="561"/>
      <c r="L3" s="1331"/>
      <c r="M3" s="1345"/>
      <c r="N3" s="1347"/>
      <c r="O3" s="591"/>
      <c r="P3" s="1349"/>
      <c r="Q3" s="1343"/>
      <c r="R3" s="1343"/>
      <c r="S3" s="1337"/>
      <c r="T3" s="1338"/>
      <c r="U3" s="1327"/>
      <c r="V3" s="617"/>
      <c r="W3" s="589"/>
      <c r="X3" s="589"/>
      <c r="Y3" s="1249"/>
      <c r="Z3" s="1249"/>
      <c r="AA3" s="1328"/>
      <c r="AB3" t="s">
        <v>380</v>
      </c>
      <c r="AC3" t="s">
        <v>213</v>
      </c>
      <c r="AE3" s="250" t="s">
        <v>395</v>
      </c>
      <c r="AF3" t="s">
        <v>396</v>
      </c>
      <c r="AG3" t="s">
        <v>212</v>
      </c>
      <c r="AH3" t="s">
        <v>473</v>
      </c>
      <c r="AJ3" t="s">
        <v>474</v>
      </c>
      <c r="AM3" t="s">
        <v>476</v>
      </c>
      <c r="AN3" t="s">
        <v>475</v>
      </c>
    </row>
    <row r="4" spans="1:40" s="703" customFormat="1" ht="16.5" customHeight="1">
      <c r="A4" s="686" t="s">
        <v>240</v>
      </c>
      <c r="B4" s="903">
        <f ca="1">(INDIRECT(CONCATENATE("'",$A4,"'","!AL17")))/1000</f>
        <v>2050.547462830482</v>
      </c>
      <c r="C4" s="917">
        <f ca="1">INDIRECT(CONCATENATE("'",$A4,"'","!AL18"))</f>
        <v>0.1419754994877502</v>
      </c>
      <c r="D4" s="911">
        <f aca="true" ca="1" t="shared" si="0" ref="D4:D15">(INDIRECT(CONCATENATE("'",$A4,"'","!AM17")))/1000</f>
        <v>3854.6846</v>
      </c>
      <c r="E4" s="917">
        <f ca="1">INDIRECT(CONCATENATE("'",$A4,"'","!AM18"))</f>
        <v>0.2668900775880169</v>
      </c>
      <c r="F4" s="911">
        <f aca="true" ca="1" t="shared" si="1" ref="F4:F15">(INDIRECT(CONCATENATE("'",$A4,"'","!AN17")))/1000</f>
        <v>8537.735</v>
      </c>
      <c r="G4" s="926">
        <f ca="1">INDIRECT(CONCATENATE("'",$A4,"'","!AN18"))</f>
        <v>0.5911344229242329</v>
      </c>
      <c r="H4" s="915">
        <f>B4+D4+F4</f>
        <v>14442.967062830483</v>
      </c>
      <c r="I4" s="1202"/>
      <c r="J4" s="687"/>
      <c r="K4" s="688" t="s">
        <v>240</v>
      </c>
      <c r="L4" s="689">
        <f ca="1">INDIRECT(CONCATENATE("'",$A4,"'","!An27"))</f>
        <v>3.0956092738</v>
      </c>
      <c r="M4" s="690">
        <f>VLOOKUP(A4,'Eurobserver 2005'!$A$2:$E$27,3,FALSE)</f>
        <v>3.499</v>
      </c>
      <c r="N4" s="691">
        <f aca="true" t="shared" si="2" ref="N4:N15">L4/M4</f>
        <v>0.884712567533581</v>
      </c>
      <c r="O4" s="692"/>
      <c r="P4" s="693">
        <v>0.5302380024000001</v>
      </c>
      <c r="Q4" s="694">
        <v>3.6058819466000003</v>
      </c>
      <c r="R4" s="694">
        <v>2.37215926785</v>
      </c>
      <c r="S4" s="695">
        <v>0.6578582723948347</v>
      </c>
      <c r="T4" s="696">
        <v>33.19</v>
      </c>
      <c r="U4" s="697">
        <f>R4/T4</f>
        <v>0.07147210810033143</v>
      </c>
      <c r="V4" s="698"/>
      <c r="W4" s="692">
        <f>R4/T4</f>
        <v>0.07147210810033143</v>
      </c>
      <c r="X4" s="688" t="s">
        <v>240</v>
      </c>
      <c r="Y4" s="699">
        <f ca="1">INDIRECT(CONCATENATE("'",$A4,"'","!AL11"))</f>
        <v>1.7628681321867867</v>
      </c>
      <c r="Z4" s="700">
        <f ca="1">INDIRECT(CONCATENATE("'",$A4,"'","!AN26"))</f>
        <v>0.8457737694193007</v>
      </c>
      <c r="AA4" s="701">
        <f>Z4/Y4</f>
        <v>0.4797714326880156</v>
      </c>
      <c r="AB4" s="702">
        <f>VLOOKUP(X4,'JFSQ p3'!$A:$XFD,11,FALSE)</f>
        <v>24514</v>
      </c>
      <c r="AC4" s="702">
        <f ca="1">INDIRECT(CONCATENATE("'",$A4,"'","!AL9"))</f>
        <v>8192880</v>
      </c>
      <c r="AD4" s="702">
        <f>Z4*AC4</f>
        <v>6929323</v>
      </c>
      <c r="AE4" s="702">
        <f ca="1">INDIRECT(CONCATENATE("'",$A4,"'","!AN22"))</f>
        <v>23043707</v>
      </c>
      <c r="AF4" s="703">
        <f ca="1">INDIRECT(CONCATENATE("'",$A4,"'","!AN25"))</f>
        <v>2324129.262830482</v>
      </c>
      <c r="AH4" s="250">
        <v>83870</v>
      </c>
      <c r="AJ4" s="1175">
        <f>AC4/AH4</f>
        <v>97.68546560152618</v>
      </c>
      <c r="AL4" s="703" t="str">
        <f aca="true" t="shared" si="3" ref="AL4:AL15">A4</f>
        <v>Austria</v>
      </c>
      <c r="AM4" s="703">
        <f>H4/AC4*1000</f>
        <v>1.762868132186787</v>
      </c>
      <c r="AN4" s="703">
        <f>AH4/AC4</f>
        <v>0.010236937438361113</v>
      </c>
    </row>
    <row r="5" spans="1:40" s="703" customFormat="1" ht="16.5" customHeight="1">
      <c r="A5" s="704" t="s">
        <v>238</v>
      </c>
      <c r="B5" s="904">
        <f aca="true" ca="1" t="shared" si="4" ref="B5:B15">(INDIRECT(CONCATENATE("'",$A5,"'","!AL17")))/1000</f>
        <v>537.8799129082425</v>
      </c>
      <c r="C5" s="918">
        <f ca="1">INDIRECT(CONCATENATE("'",$A5,"'","!AL18"))</f>
        <v>0.06775159502560052</v>
      </c>
      <c r="D5" s="912">
        <f ca="1" t="shared" si="0"/>
        <v>2270.1200870917573</v>
      </c>
      <c r="E5" s="918">
        <f ca="1">INDIRECT(CONCATENATE("'",$A5,"'","!AM18"))</f>
        <v>0.2859453441355029</v>
      </c>
      <c r="F5" s="912">
        <f ca="1" t="shared" si="1"/>
        <v>5131</v>
      </c>
      <c r="G5" s="927">
        <f ca="1">INDIRECT(CONCATENATE("'",$A5,"'","!AN18"))</f>
        <v>0.6463030608388965</v>
      </c>
      <c r="H5" s="929">
        <f aca="true" t="shared" si="5" ref="H5:H15">B5+D5+F5</f>
        <v>7939</v>
      </c>
      <c r="I5" s="1202"/>
      <c r="J5" s="687"/>
      <c r="K5" s="705" t="s">
        <v>238</v>
      </c>
      <c r="L5" s="706">
        <f ca="1" t="shared" si="6" ref="L5:L20">INDIRECT(CONCATENATE("'",$A5,"'","!An27"))</f>
        <v>1.7015923333333336</v>
      </c>
      <c r="M5" s="707">
        <f>VLOOKUP(A5,'Eurobserver 2005'!$A$2:$E$27,3,FALSE)</f>
        <v>1.007</v>
      </c>
      <c r="N5" s="691">
        <f t="shared" si="2"/>
        <v>1.6897639854352868</v>
      </c>
      <c r="O5" s="692"/>
      <c r="P5" s="708">
        <v>0.1579106211</v>
      </c>
      <c r="Q5" s="709">
        <v>1.0643694298000002</v>
      </c>
      <c r="R5" s="709">
        <v>1.4676475</v>
      </c>
      <c r="S5" s="710">
        <v>1.3788891891378143</v>
      </c>
      <c r="T5" s="696">
        <v>45.53</v>
      </c>
      <c r="U5" s="697">
        <f aca="true" t="shared" si="7" ref="U5:U22">R5/T5</f>
        <v>0.0322347353393367</v>
      </c>
      <c r="V5" s="698"/>
      <c r="W5" s="692"/>
      <c r="X5" s="705" t="s">
        <v>238</v>
      </c>
      <c r="Y5" s="711">
        <f ca="1" t="shared" si="8" ref="Y5:Y20">INDIRECT(CONCATENATE("'",$A5,"'","!AL11"))</f>
        <v>0.7756372335181972</v>
      </c>
      <c r="Z5" s="712">
        <f ca="1" t="shared" si="9" ref="Z5:Z20">INDIRECT(CONCATENATE("'",$A5,"'","!AN26"))</f>
        <v>0.4920152548176901</v>
      </c>
      <c r="AA5" s="713">
        <f aca="true" t="shared" si="10" ref="AA5:AA20">Z5/Y5</f>
        <v>0.634336818239073</v>
      </c>
      <c r="AB5" s="702">
        <f>VLOOKUP(X5,'JFSQ p3'!$A:$XFD,11,FALSE)</f>
        <v>13212</v>
      </c>
      <c r="AC5" s="702">
        <f ca="1" t="shared" si="11" ref="AC5:AC15">INDIRECT(CONCATENATE("'",$A5,"'","!AL9"))</f>
        <v>10235455</v>
      </c>
      <c r="AD5" s="702">
        <f aca="true" t="shared" si="12" ref="AD5:AD15">Z5*AC5</f>
        <v>5036000</v>
      </c>
      <c r="AE5" s="702">
        <f ca="1">INDIRECT(CONCATENATE("'",$A5,"'","!AN22"))</f>
        <v>15156000</v>
      </c>
      <c r="AF5" s="703">
        <f ca="1" t="shared" si="13" ref="AF5:AF15">INDIRECT(CONCATENATE("'",$A5,"'","!AN25"))</f>
        <v>975000</v>
      </c>
      <c r="AH5" s="250">
        <v>78866</v>
      </c>
      <c r="AJ5" s="1175">
        <f aca="true" t="shared" si="14" ref="AJ5:AJ20">AC5/AH5</f>
        <v>129.78285953389295</v>
      </c>
      <c r="AL5" s="703" t="str">
        <f t="shared" si="3"/>
        <v>Czech Republic</v>
      </c>
      <c r="AM5" s="703">
        <f aca="true" t="shared" si="15" ref="AM5:AM20">H5/AC5*1000</f>
        <v>0.7756372335181974</v>
      </c>
      <c r="AN5" s="703">
        <f aca="true" t="shared" si="16" ref="AN5:AN20">AH5/AC5</f>
        <v>0.007705177737579815</v>
      </c>
    </row>
    <row r="6" spans="1:40" s="703" customFormat="1" ht="16.5" customHeight="1" thickBot="1">
      <c r="A6" s="901" t="s">
        <v>122</v>
      </c>
      <c r="B6" s="905">
        <f ca="1">(INDIRECT(CONCATENATE("'",$A6,"'","!AL17")))/1000</f>
        <v>8593.778062315945</v>
      </c>
      <c r="C6" s="919">
        <f ca="1">INDIRECT(CONCATENATE("'",$A6,"'","!AL18"))</f>
        <v>0.26110507279669054</v>
      </c>
      <c r="D6" s="913">
        <f ca="1" t="shared" si="0"/>
        <v>18595.560036982282</v>
      </c>
      <c r="E6" s="919">
        <f ca="1">INDIRECT(CONCATENATE("'",$A6,"'","!AM18"))</f>
        <v>0.5649895798964819</v>
      </c>
      <c r="F6" s="913">
        <f ca="1" t="shared" si="1"/>
        <v>5723.764546576027</v>
      </c>
      <c r="G6" s="928">
        <f ca="1">INDIRECT(CONCATENATE("'",$A6,"'","!AN18"))</f>
        <v>0.17390534730682755</v>
      </c>
      <c r="H6" s="932">
        <f t="shared" si="5"/>
        <v>32913.102645874256</v>
      </c>
      <c r="I6" s="1202"/>
      <c r="J6" s="687"/>
      <c r="K6" s="705" t="s">
        <v>122</v>
      </c>
      <c r="L6" s="706">
        <f ca="1" t="shared" si="6"/>
        <v>7.054375000432382</v>
      </c>
      <c r="M6" s="707">
        <f>VLOOKUP(A6,'Eurobserver 2005'!$A$2:$E$27,3,FALSE)</f>
        <v>7.232</v>
      </c>
      <c r="N6" s="691">
        <f t="shared" si="2"/>
        <v>0.9754390210774865</v>
      </c>
      <c r="O6" s="692"/>
      <c r="P6" s="708">
        <v>1.0536545205</v>
      </c>
      <c r="Q6" s="709">
        <v>11.499121247000001</v>
      </c>
      <c r="R6" s="709">
        <v>8.582569857445947</v>
      </c>
      <c r="S6" s="710">
        <v>0.7463674547900822</v>
      </c>
      <c r="T6" s="696">
        <v>38.09</v>
      </c>
      <c r="U6" s="697">
        <f>R6/T6</f>
        <v>0.2253234407310566</v>
      </c>
      <c r="V6" s="698"/>
      <c r="W6" s="692"/>
      <c r="X6" s="705" t="s">
        <v>122</v>
      </c>
      <c r="Y6" s="714">
        <f ca="1" t="shared" si="8"/>
        <v>6.291485798730095</v>
      </c>
      <c r="Z6" s="712">
        <f ca="1" t="shared" si="9"/>
        <v>1.3003337049559214</v>
      </c>
      <c r="AA6" s="713">
        <f t="shared" si="10"/>
        <v>0.20668149727340832</v>
      </c>
      <c r="AB6" s="702">
        <f>VLOOKUP(X6,'JFSQ p3'!$A:$XFD,11,FALSE)</f>
        <v>66383.46</v>
      </c>
      <c r="AC6" s="702">
        <f ca="1" t="shared" si="11"/>
        <v>5231372</v>
      </c>
      <c r="AD6" s="702">
        <f t="shared" si="12"/>
        <v>6802529.334762668</v>
      </c>
      <c r="AE6" s="702">
        <f ca="1" t="shared" si="17" ref="AE6:AE15">INDIRECT(CONCATENATE("'",$A6,"'","!AN22"))</f>
        <v>63578611.1846435</v>
      </c>
      <c r="AF6" s="703">
        <f ca="1" t="shared" si="13"/>
        <v>19119748.75295615</v>
      </c>
      <c r="AH6">
        <v>338145</v>
      </c>
      <c r="AJ6" s="1175">
        <f t="shared" si="14"/>
        <v>15.47079507311952</v>
      </c>
      <c r="AL6" s="703" t="str">
        <f t="shared" si="3"/>
        <v>Finland</v>
      </c>
      <c r="AM6" s="703">
        <f t="shared" si="15"/>
        <v>6.291485798730095</v>
      </c>
      <c r="AN6" s="703">
        <f t="shared" si="16"/>
        <v>0.06463791907744278</v>
      </c>
    </row>
    <row r="7" spans="1:40" s="703" customFormat="1" ht="16.5" customHeight="1">
      <c r="A7" s="686" t="s">
        <v>242</v>
      </c>
      <c r="B7" s="906">
        <f ca="1">(INDIRECT(CONCATENATE("'",$A7,"'","!AL17")))/1000</f>
        <v>513.5</v>
      </c>
      <c r="C7" s="920">
        <f ca="1">INDIRECT(CONCATENATE("'",$A7,"'","!AL18"))</f>
        <v>0.012443923669804683</v>
      </c>
      <c r="D7" s="909">
        <f ca="1">(INDIRECT(CONCATENATE("'",$A7,"'","!AM17")))/1000</f>
        <v>3825</v>
      </c>
      <c r="E7" s="920">
        <f ca="1">INDIRECT(CONCATENATE("'",$A7,"'","!AM18"))</f>
        <v>0.09269329705355972</v>
      </c>
      <c r="F7" s="909">
        <f ca="1">(INDIRECT(CONCATENATE("'",$A7,"'","!AN17")))/1000</f>
        <v>36926.619718309856</v>
      </c>
      <c r="G7" s="923">
        <f ca="1">INDIRECT(CONCATENATE("'",$A7,"'","!AN18"))</f>
        <v>0.8948627792766356</v>
      </c>
      <c r="H7" s="915">
        <f>B7+D7+F7</f>
        <v>41265.119718309856</v>
      </c>
      <c r="I7" s="1202"/>
      <c r="J7" s="687"/>
      <c r="K7" s="705" t="s">
        <v>242</v>
      </c>
      <c r="L7" s="706">
        <f ca="1">INDIRECT(CONCATENATE("'",$A7,"'","!An27"))</f>
        <v>8.844490659624412</v>
      </c>
      <c r="M7" s="707">
        <f>VLOOKUP(A7,'Eurobserver 2005'!$A$2:$E$27,3,FALSE)</f>
        <v>9.18</v>
      </c>
      <c r="N7" s="691">
        <f>L7/M7</f>
        <v>0.9634521415712868</v>
      </c>
      <c r="O7" s="692"/>
      <c r="P7" s="708">
        <v>1.8051926822</v>
      </c>
      <c r="Q7" s="709">
        <v>7.305009371600001</v>
      </c>
      <c r="R7" s="709">
        <v>5.710455275388223</v>
      </c>
      <c r="S7" s="710">
        <v>0.7817177206628927</v>
      </c>
      <c r="T7" s="696">
        <v>275.17</v>
      </c>
      <c r="U7" s="697">
        <f>R7/T7</f>
        <v>0.02075246311512237</v>
      </c>
      <c r="V7" s="698"/>
      <c r="W7" s="692"/>
      <c r="X7" s="705" t="s">
        <v>242</v>
      </c>
      <c r="Y7" s="711">
        <f ca="1">INDIRECT(CONCATENATE("'",$A7,"'","!AL11"))</f>
        <v>0.6778537934521642</v>
      </c>
      <c r="Z7" s="712">
        <f ca="1">INDIRECT(CONCATENATE("'",$A7,"'","!AN26"))</f>
        <v>0.5684431041797702</v>
      </c>
      <c r="AA7" s="713">
        <f>Z7/Y7</f>
        <v>0.8385924954182393</v>
      </c>
      <c r="AB7" s="702">
        <f>VLOOKUP(X7,'JFSQ p3'!$A:$XFD,11,FALSE)</f>
        <v>32989.1</v>
      </c>
      <c r="AC7" s="702">
        <f ca="1">INDIRECT(CONCATENATE("'",$A7,"'","!AL9"))</f>
        <v>60876136</v>
      </c>
      <c r="AD7" s="702">
        <f>Z7*AC7</f>
        <v>34604619.71830986</v>
      </c>
      <c r="AE7" s="702">
        <f ca="1">INDIRECT(CONCATENATE("'",$A7,"'","!AN22"))</f>
        <v>74162000</v>
      </c>
      <c r="AF7" s="703">
        <f ca="1">INDIRECT(CONCATENATE("'",$A7,"'","!AN25"))</f>
        <v>4976671.850699845</v>
      </c>
      <c r="AH7" s="250">
        <v>547030</v>
      </c>
      <c r="AJ7" s="1175">
        <f t="shared" si="14"/>
        <v>111.2848216734</v>
      </c>
      <c r="AL7" s="703" t="str">
        <f t="shared" si="3"/>
        <v>France</v>
      </c>
      <c r="AM7" s="703">
        <f t="shared" si="15"/>
        <v>0.6778537934521642</v>
      </c>
      <c r="AN7" s="703">
        <f t="shared" si="16"/>
        <v>0.008985951407954013</v>
      </c>
    </row>
    <row r="8" spans="1:40" s="703" customFormat="1" ht="16.5" customHeight="1">
      <c r="A8" s="704" t="s">
        <v>239</v>
      </c>
      <c r="B8" s="904">
        <f ca="1" t="shared" si="4"/>
        <v>15363.6</v>
      </c>
      <c r="C8" s="918">
        <f ca="1">INDIRECT(CONCATENATE("'",$A8,"'","!AL18"))</f>
        <v>0.5075419714178113</v>
      </c>
      <c r="D8" s="912">
        <f ca="1" t="shared" si="0"/>
        <v>1696</v>
      </c>
      <c r="E8" s="918">
        <f ca="1">INDIRECT(CONCATENATE("'",$A8,"'","!AM18"))</f>
        <v>0.0560279611239949</v>
      </c>
      <c r="F8" s="912">
        <f ca="1" t="shared" si="1"/>
        <v>13211</v>
      </c>
      <c r="G8" s="927">
        <f ca="1">INDIRECT(CONCATENATE("'",$A8,"'","!AN18"))</f>
        <v>0.43643006745819374</v>
      </c>
      <c r="H8" s="929">
        <f t="shared" si="5"/>
        <v>30270.6</v>
      </c>
      <c r="I8" s="1202"/>
      <c r="J8" s="687"/>
      <c r="K8" s="705" t="s">
        <v>239</v>
      </c>
      <c r="L8" s="706">
        <f ca="1" t="shared" si="6"/>
        <v>6.487998600000001</v>
      </c>
      <c r="M8" s="707">
        <f>VLOOKUP(A8,'Eurobserver 2005'!$A$2:$E$27,3,FALSE)</f>
        <v>6.263</v>
      </c>
      <c r="N8" s="691">
        <f t="shared" si="2"/>
        <v>1.0359250518920646</v>
      </c>
      <c r="O8" s="692"/>
      <c r="P8" s="708">
        <v>1.5273574470000002</v>
      </c>
      <c r="Q8" s="709">
        <v>8.166503009</v>
      </c>
      <c r="R8" s="709">
        <v>2.75895225</v>
      </c>
      <c r="S8" s="710">
        <v>0.33783765792524184</v>
      </c>
      <c r="T8" s="696">
        <v>348.04</v>
      </c>
      <c r="U8" s="697">
        <f t="shared" si="7"/>
        <v>0.007927112544535111</v>
      </c>
      <c r="V8" s="698"/>
      <c r="W8" s="692"/>
      <c r="X8" s="705" t="s">
        <v>239</v>
      </c>
      <c r="Y8" s="711">
        <f ca="1" t="shared" si="8"/>
        <v>0.3672622623642177</v>
      </c>
      <c r="Z8" s="712">
        <f ca="1" t="shared" si="9"/>
        <v>0.1298435026666752</v>
      </c>
      <c r="AA8" s="713">
        <f t="shared" si="10"/>
        <v>0.3535443631774725</v>
      </c>
      <c r="AB8" s="702">
        <f>VLOOKUP(X8,'JFSQ p3'!$A:$XFD,11,FALSE)</f>
        <v>51747</v>
      </c>
      <c r="AC8" s="702">
        <f ca="1" t="shared" si="11"/>
        <v>82422299</v>
      </c>
      <c r="AD8" s="702">
        <f t="shared" si="12"/>
        <v>10702000</v>
      </c>
      <c r="AE8" s="702">
        <f ca="1" t="shared" si="17"/>
        <v>61922000.00000001</v>
      </c>
      <c r="AF8" s="703">
        <f ca="1" t="shared" si="13"/>
        <v>1696000</v>
      </c>
      <c r="AH8" s="250">
        <v>357021</v>
      </c>
      <c r="AJ8" s="1175">
        <f t="shared" si="14"/>
        <v>230.86120704384336</v>
      </c>
      <c r="AL8" s="703" t="str">
        <f t="shared" si="3"/>
        <v>Germany</v>
      </c>
      <c r="AM8" s="703">
        <f t="shared" si="15"/>
        <v>0.36726226236421766</v>
      </c>
      <c r="AN8" s="703">
        <f t="shared" si="16"/>
        <v>0.004331606911377224</v>
      </c>
    </row>
    <row r="9" spans="1:40" s="703" customFormat="1" ht="16.5" customHeight="1" thickBot="1">
      <c r="A9" s="715" t="s">
        <v>280</v>
      </c>
      <c r="B9" s="907">
        <f ca="1" t="shared" si="4"/>
        <v>774.8</v>
      </c>
      <c r="C9" s="921">
        <f ca="1" t="shared" si="18" ref="C9:C15">INDIRECT(CONCATENATE("'",$A9,"'","!AL18"))</f>
        <v>0.2414730228383365</v>
      </c>
      <c r="D9" s="910">
        <f ca="1" t="shared" si="0"/>
        <v>421.56</v>
      </c>
      <c r="E9" s="921">
        <f ca="1" t="shared" si="19" ref="E9:E15">INDIRECT(CONCATENATE("'",$A9,"'","!AM18"))</f>
        <v>0.131382766530368</v>
      </c>
      <c r="F9" s="910">
        <f ca="1" t="shared" si="1"/>
        <v>2012.28</v>
      </c>
      <c r="G9" s="924">
        <f ca="1" t="shared" si="20" ref="G9:G15">INDIRECT(CONCATENATE("'",$A9,"'","!AN18"))</f>
        <v>0.6271442106312956</v>
      </c>
      <c r="H9" s="916">
        <f t="shared" si="5"/>
        <v>3208.64</v>
      </c>
      <c r="I9" s="1202"/>
      <c r="J9" s="687"/>
      <c r="K9" s="705" t="s">
        <v>280</v>
      </c>
      <c r="L9" s="706">
        <f ca="1" t="shared" si="6"/>
        <v>0.6877185066666667</v>
      </c>
      <c r="M9" s="707">
        <f>VLOOKUP(A9,'Eurobserver 2005'!$A$2:$E$27,3,FALSE)</f>
        <v>0.697</v>
      </c>
      <c r="N9" s="691">
        <f t="shared" si="2"/>
        <v>0.9866836537541847</v>
      </c>
      <c r="O9" s="692"/>
      <c r="P9" s="708" t="s">
        <v>124</v>
      </c>
      <c r="Q9" s="709" t="s">
        <v>124</v>
      </c>
      <c r="R9" s="709">
        <v>0.51578888</v>
      </c>
      <c r="S9" s="710" t="s">
        <v>124</v>
      </c>
      <c r="T9" s="696">
        <v>9.16</v>
      </c>
      <c r="U9" s="697">
        <f t="shared" si="7"/>
        <v>0.056308829694323145</v>
      </c>
      <c r="V9" s="698"/>
      <c r="W9" s="692"/>
      <c r="X9" s="705" t="s">
        <v>280</v>
      </c>
      <c r="Y9" s="711">
        <f ca="1" t="shared" si="8"/>
        <v>0.8947919995671945</v>
      </c>
      <c r="Z9" s="712">
        <f ca="1" t="shared" si="9"/>
        <v>0.41389818918845056</v>
      </c>
      <c r="AA9" s="713">
        <f t="shared" si="10"/>
        <v>0.4625635783384861</v>
      </c>
      <c r="AB9" s="702">
        <f>VLOOKUP(X9,'JFSQ p3'!$A:$XFD,11,FALSE)</f>
        <v>5126</v>
      </c>
      <c r="AC9" s="702">
        <f ca="1" t="shared" si="11"/>
        <v>3585906</v>
      </c>
      <c r="AD9" s="702">
        <f t="shared" si="12"/>
        <v>1484200</v>
      </c>
      <c r="AE9" s="702">
        <f ca="1" t="shared" si="17"/>
        <v>5226200</v>
      </c>
      <c r="AF9" s="703" t="str">
        <f ca="1" t="shared" si="13"/>
        <v>n.a.</v>
      </c>
      <c r="AH9" s="250">
        <v>65200</v>
      </c>
      <c r="AJ9" s="1175">
        <f t="shared" si="14"/>
        <v>54.99855828220859</v>
      </c>
      <c r="AL9" s="703" t="str">
        <f t="shared" si="3"/>
        <v>Lithuania</v>
      </c>
      <c r="AM9" s="703">
        <f t="shared" si="15"/>
        <v>0.8947919995671945</v>
      </c>
      <c r="AN9" s="703">
        <f t="shared" si="16"/>
        <v>0.018182294795234453</v>
      </c>
    </row>
    <row r="10" spans="1:40" s="703" customFormat="1" ht="16.5" customHeight="1">
      <c r="A10" s="686" t="s">
        <v>284</v>
      </c>
      <c r="B10" s="906">
        <f ca="1" t="shared" si="4"/>
        <v>1400</v>
      </c>
      <c r="C10" s="920">
        <f ca="1">INDIRECT(CONCATENATE("'",$A10,"'","!AL18"))</f>
        <v>0.7135575942915392</v>
      </c>
      <c r="D10" s="909">
        <f ca="1" t="shared" si="0"/>
        <v>150</v>
      </c>
      <c r="E10" s="920">
        <f ca="1">INDIRECT(CONCATENATE("'",$A10,"'","!AM18"))</f>
        <v>0.0764525993883792</v>
      </c>
      <c r="F10" s="909">
        <f ca="1" t="shared" si="1"/>
        <v>412</v>
      </c>
      <c r="G10" s="923">
        <f ca="1">INDIRECT(CONCATENATE("'",$A10,"'","!AN18"))</f>
        <v>0.20998980632008155</v>
      </c>
      <c r="H10" s="933">
        <f t="shared" si="5"/>
        <v>1962</v>
      </c>
      <c r="I10" s="1202"/>
      <c r="J10" s="687"/>
      <c r="K10" s="705" t="s">
        <v>284</v>
      </c>
      <c r="L10" s="706">
        <f ca="1" t="shared" si="6"/>
        <v>0.420522</v>
      </c>
      <c r="M10" s="707">
        <f>VLOOKUP(A10,'Eurobserver 2005'!$A$2:$E$27,3,FALSE)</f>
        <v>0.72</v>
      </c>
      <c r="N10" s="691">
        <f t="shared" si="2"/>
        <v>0.5840583333333333</v>
      </c>
      <c r="O10" s="692"/>
      <c r="P10" s="708">
        <v>0.5002006308</v>
      </c>
      <c r="Q10" s="709">
        <v>1.7732643578</v>
      </c>
      <c r="R10" s="709">
        <v>0.3443265</v>
      </c>
      <c r="S10" s="710">
        <v>0.19417663163725266</v>
      </c>
      <c r="T10" s="696">
        <v>82.15</v>
      </c>
      <c r="U10" s="697">
        <f t="shared" si="7"/>
        <v>0.004191436396835058</v>
      </c>
      <c r="V10" s="698"/>
      <c r="W10" s="692"/>
      <c r="X10" s="705" t="s">
        <v>284</v>
      </c>
      <c r="Y10" s="711">
        <f ca="1" t="shared" si="8"/>
        <v>0.11897066002824128</v>
      </c>
      <c r="Z10" s="712">
        <f ca="1" t="shared" si="9"/>
        <v>0.01894920043772956</v>
      </c>
      <c r="AA10" s="713">
        <f t="shared" si="10"/>
        <v>0.15927624872579</v>
      </c>
      <c r="AB10" s="702">
        <f>VLOOKUP(X10,'JFSQ p3'!$A:$XFD,11,FALSE)</f>
        <v>698.8</v>
      </c>
      <c r="AC10" s="702">
        <f ca="1" t="shared" si="11"/>
        <v>16491461</v>
      </c>
      <c r="AD10" s="702">
        <f t="shared" si="12"/>
        <v>312500</v>
      </c>
      <c r="AE10" s="702">
        <f ca="1" t="shared" si="17"/>
        <v>950000</v>
      </c>
      <c r="AF10" s="703" t="str">
        <f ca="1" t="shared" si="13"/>
        <v>n.a.</v>
      </c>
      <c r="AH10" s="250">
        <v>41526</v>
      </c>
      <c r="AJ10" s="1175">
        <f t="shared" si="14"/>
        <v>397.13579444203634</v>
      </c>
      <c r="AL10" s="703" t="str">
        <f t="shared" si="3"/>
        <v>Netherlands</v>
      </c>
      <c r="AM10" s="703">
        <f t="shared" si="15"/>
        <v>0.11897066002824129</v>
      </c>
      <c r="AN10" s="703">
        <f t="shared" si="16"/>
        <v>0.002518030391606905</v>
      </c>
    </row>
    <row r="11" spans="1:40" s="703" customFormat="1" ht="16.5" customHeight="1">
      <c r="A11" s="704" t="s">
        <v>127</v>
      </c>
      <c r="B11" s="904">
        <f ca="1" t="shared" si="4"/>
        <v>595.0971732503888</v>
      </c>
      <c r="C11" s="918">
        <f ca="1">INDIRECT(CONCATENATE("'",$A11,"'","!AL18"))</f>
        <v>0.10308640057691049</v>
      </c>
      <c r="D11" s="912">
        <f ca="1" t="shared" si="0"/>
        <v>2010.7028267496112</v>
      </c>
      <c r="E11" s="918">
        <f ca="1">INDIRECT(CONCATENATE("'",$A11,"'","!AM18"))</f>
        <v>0.3483063377822913</v>
      </c>
      <c r="F11" s="912">
        <f ca="1" t="shared" si="1"/>
        <v>3167</v>
      </c>
      <c r="G11" s="927">
        <f ca="1">INDIRECT(CONCATENATE("'",$A11,"'","!AN18"))</f>
        <v>0.5486072616407982</v>
      </c>
      <c r="H11" s="929">
        <f t="shared" si="5"/>
        <v>5772.8</v>
      </c>
      <c r="I11" s="1202"/>
      <c r="J11" s="687"/>
      <c r="K11" s="705" t="s">
        <v>127</v>
      </c>
      <c r="L11" s="706">
        <f ca="1" t="shared" si="6"/>
        <v>1.2373034666666667</v>
      </c>
      <c r="M11" s="707" t="s">
        <v>124</v>
      </c>
      <c r="N11" s="691"/>
      <c r="O11" s="692"/>
      <c r="P11" s="708">
        <v>0.20006693770000006</v>
      </c>
      <c r="Q11" s="709">
        <v>1.5035116854000001</v>
      </c>
      <c r="R11" s="709">
        <v>0.9870693</v>
      </c>
      <c r="S11" s="710">
        <v>0.656509230746282</v>
      </c>
      <c r="T11" s="696">
        <v>27.66</v>
      </c>
      <c r="U11" s="697">
        <f t="shared" si="7"/>
        <v>0.03568580260303688</v>
      </c>
      <c r="V11" s="698"/>
      <c r="W11" s="692"/>
      <c r="X11" s="705" t="s">
        <v>127</v>
      </c>
      <c r="Y11" s="711">
        <f ca="1" t="shared" si="8"/>
        <v>1.2520115727788115</v>
      </c>
      <c r="Z11" s="712">
        <f ca="1" t="shared" si="9"/>
        <v>0.6784042751614681</v>
      </c>
      <c r="AA11" s="713">
        <f t="shared" si="10"/>
        <v>0.5418514412416853</v>
      </c>
      <c r="AB11" s="702">
        <f>VLOOKUP(X11,'JFSQ p3'!$A:$XFD,11,FALSE)</f>
        <v>11458.47</v>
      </c>
      <c r="AC11" s="702">
        <f ca="1" t="shared" si="11"/>
        <v>4610820</v>
      </c>
      <c r="AD11">
        <v>4620275</v>
      </c>
      <c r="AE11" s="702">
        <f ca="1" t="shared" si="17"/>
        <v>14340290</v>
      </c>
      <c r="AF11" s="703">
        <f ca="1" t="shared" si="13"/>
        <v>844500</v>
      </c>
      <c r="AH11" s="250">
        <v>385155</v>
      </c>
      <c r="AJ11" s="1175">
        <f t="shared" si="14"/>
        <v>11.971336215289949</v>
      </c>
      <c r="AL11" s="703" t="str">
        <f t="shared" si="3"/>
        <v>Norway</v>
      </c>
      <c r="AM11" s="703">
        <f t="shared" si="15"/>
        <v>1.2520115727788117</v>
      </c>
      <c r="AN11" s="703">
        <f t="shared" si="16"/>
        <v>0.08353286400249847</v>
      </c>
    </row>
    <row r="12" spans="1:40" s="703" customFormat="1" ht="16.5" customHeight="1" thickBot="1">
      <c r="A12" s="715" t="s">
        <v>281</v>
      </c>
      <c r="B12" s="907">
        <f ca="1" t="shared" si="4"/>
        <v>27.792</v>
      </c>
      <c r="C12" s="921">
        <f ca="1">INDIRECT(CONCATENATE("'",$A12,"'","!AL18"))</f>
        <v>0.012555108169900537</v>
      </c>
      <c r="D12" s="910">
        <f ca="1" t="shared" si="0"/>
        <v>531.063</v>
      </c>
      <c r="E12" s="921">
        <f ca="1">INDIRECT(CONCATENATE("'",$A12,"'","!AM18"))</f>
        <v>0.2399090893074226</v>
      </c>
      <c r="F12" s="910">
        <f ca="1" t="shared" si="1"/>
        <v>1654.746</v>
      </c>
      <c r="G12" s="924">
        <f ca="1">INDIRECT(CONCATENATE("'",$A12,"'","!AN18"))</f>
        <v>0.7475358025226768</v>
      </c>
      <c r="H12" s="932">
        <f t="shared" si="5"/>
        <v>2213.601</v>
      </c>
      <c r="I12" s="1202"/>
      <c r="J12" s="687"/>
      <c r="K12" s="705" t="s">
        <v>281</v>
      </c>
      <c r="L12" s="706">
        <f ca="1" t="shared" si="6"/>
        <v>0.47444848100000003</v>
      </c>
      <c r="M12" s="707">
        <f>VLOOKUP(A12,'Eurobserver 2005'!$A$2:$E$27,3,FALSE)</f>
        <v>0.422</v>
      </c>
      <c r="N12" s="691">
        <f t="shared" si="2"/>
        <v>1.1242855</v>
      </c>
      <c r="O12" s="692"/>
      <c r="P12" s="708" t="s">
        <v>124</v>
      </c>
      <c r="Q12" s="709" t="s">
        <v>124</v>
      </c>
      <c r="R12" s="709">
        <v>0.34647620975</v>
      </c>
      <c r="S12" s="710" t="s">
        <v>124</v>
      </c>
      <c r="T12" s="696">
        <v>7.17</v>
      </c>
      <c r="U12" s="697">
        <f t="shared" si="7"/>
        <v>0.04832304180613668</v>
      </c>
      <c r="V12" s="698"/>
      <c r="W12" s="692"/>
      <c r="X12" s="705" t="s">
        <v>281</v>
      </c>
      <c r="Y12" s="711">
        <f ca="1" t="shared" si="8"/>
        <v>1.101103938772759</v>
      </c>
      <c r="Z12" s="712">
        <f ca="1" t="shared" si="9"/>
        <v>0.7914862459068012</v>
      </c>
      <c r="AA12" s="713">
        <f t="shared" si="10"/>
        <v>0.7188115654085809</v>
      </c>
      <c r="AB12" s="702">
        <f>VLOOKUP(X12,'JFSQ p3'!$A:$XFD,11,FALSE)</f>
        <v>2747.33</v>
      </c>
      <c r="AC12" s="702">
        <f ca="1" t="shared" si="11"/>
        <v>2010347</v>
      </c>
      <c r="AD12" s="702">
        <f t="shared" si="12"/>
        <v>1591162</v>
      </c>
      <c r="AE12" s="702">
        <f ca="1" t="shared" si="17"/>
        <v>3536016</v>
      </c>
      <c r="AF12" s="703">
        <f ca="1" t="shared" si="13"/>
        <v>181500</v>
      </c>
      <c r="AH12" s="250">
        <v>20273</v>
      </c>
      <c r="AJ12" s="1175">
        <f t="shared" si="14"/>
        <v>99.16376461303211</v>
      </c>
      <c r="AL12" s="703" t="str">
        <f t="shared" si="3"/>
        <v>Slovenia</v>
      </c>
      <c r="AM12" s="703">
        <f t="shared" si="15"/>
        <v>1.1011039387727592</v>
      </c>
      <c r="AN12" s="703">
        <f t="shared" si="16"/>
        <v>0.010084328725339457</v>
      </c>
    </row>
    <row r="13" spans="1:40" s="703" customFormat="1" ht="16.5" customHeight="1">
      <c r="A13" s="902" t="s">
        <v>1</v>
      </c>
      <c r="B13" s="903">
        <f ca="1" t="shared" si="4"/>
        <v>10995.45396578538</v>
      </c>
      <c r="C13" s="917">
        <f ca="1">INDIRECT(CONCATENATE("'",$A13,"'","!AL18"))</f>
        <v>0.2792347408316077</v>
      </c>
      <c r="D13" s="911">
        <f ca="1" t="shared" si="0"/>
        <v>19458.490824261273</v>
      </c>
      <c r="E13" s="917">
        <f ca="1">INDIRECT(CONCATENATE("'",$A13,"'","!AM18"))</f>
        <v>0.4941575544942689</v>
      </c>
      <c r="F13" s="911">
        <f ca="1" t="shared" si="1"/>
        <v>8923.153965785381</v>
      </c>
      <c r="G13" s="926">
        <f ca="1">INDIRECT(CONCATENATE("'",$A13,"'","!AN18"))</f>
        <v>0.2266077046741235</v>
      </c>
      <c r="H13" s="915">
        <f t="shared" si="5"/>
        <v>39377.098755832034</v>
      </c>
      <c r="I13" s="1202"/>
      <c r="J13" s="687"/>
      <c r="K13" s="705" t="s">
        <v>1</v>
      </c>
      <c r="L13" s="706">
        <f ca="1" t="shared" si="6"/>
        <v>8.439824833333333</v>
      </c>
      <c r="M13" s="707">
        <f>VLOOKUP(A13,'Eurobserver 2005'!$A$2:$E$27,3,FALSE)</f>
        <v>8.26</v>
      </c>
      <c r="N13" s="691">
        <f t="shared" si="2"/>
        <v>1.0217705609362389</v>
      </c>
      <c r="O13" s="692"/>
      <c r="P13" s="708">
        <v>3.0542046680000006</v>
      </c>
      <c r="Q13" s="709">
        <v>8.679305371000002</v>
      </c>
      <c r="R13" s="709">
        <v>7.195037499999999</v>
      </c>
      <c r="S13" s="710">
        <v>0.8289877118554488</v>
      </c>
      <c r="T13" s="696">
        <v>53.94</v>
      </c>
      <c r="U13" s="697">
        <f t="shared" si="7"/>
        <v>0.13338964590285501</v>
      </c>
      <c r="V13" s="698"/>
      <c r="W13" s="692"/>
      <c r="X13" s="705" t="s">
        <v>1</v>
      </c>
      <c r="Y13" s="711">
        <f ca="1" t="shared" si="8"/>
        <v>4.367180114960461</v>
      </c>
      <c r="Z13" s="712">
        <f ca="1" t="shared" si="9"/>
        <v>0.7678234630658156</v>
      </c>
      <c r="AA13" s="713">
        <f t="shared" si="10"/>
        <v>0.17581676112590727</v>
      </c>
      <c r="AB13" s="702">
        <f>VLOOKUP(X13,'JFSQ p3'!$A:$XFD,11,FALSE)</f>
        <v>75412.59</v>
      </c>
      <c r="AC13" s="702">
        <f ca="1" t="shared" si="11"/>
        <v>9016596</v>
      </c>
      <c r="AD13" s="702">
        <f t="shared" si="12"/>
        <v>6923153.96578538</v>
      </c>
      <c r="AE13" s="702">
        <f ca="1" t="shared" si="17"/>
        <v>103791000</v>
      </c>
      <c r="AF13" s="703">
        <f ca="1" t="shared" si="13"/>
        <v>15452330.94867807</v>
      </c>
      <c r="AH13" s="250">
        <v>449964</v>
      </c>
      <c r="AJ13" s="1175">
        <f t="shared" si="14"/>
        <v>20.03848307864629</v>
      </c>
      <c r="AL13" s="703" t="str">
        <f t="shared" si="3"/>
        <v>Sweden</v>
      </c>
      <c r="AM13" s="703">
        <f t="shared" si="15"/>
        <v>4.367180114960461</v>
      </c>
      <c r="AN13" s="703">
        <f t="shared" si="16"/>
        <v>0.04990397706628976</v>
      </c>
    </row>
    <row r="14" spans="1:40" s="703" customFormat="1" ht="16.5" customHeight="1">
      <c r="A14" s="704" t="s">
        <v>271</v>
      </c>
      <c r="B14" s="904">
        <f ca="1" t="shared" si="4"/>
        <v>2268</v>
      </c>
      <c r="C14" s="918">
        <f ca="1" t="shared" si="18"/>
        <v>0.5992384281986597</v>
      </c>
      <c r="D14" s="912">
        <f ca="1" t="shared" si="0"/>
        <v>224</v>
      </c>
      <c r="E14" s="918">
        <f ca="1" t="shared" si="19"/>
        <v>0.05918404229122565</v>
      </c>
      <c r="F14" s="912">
        <f ca="1" t="shared" si="1"/>
        <v>1292.804</v>
      </c>
      <c r="G14" s="927">
        <f ca="1" t="shared" si="20"/>
        <v>0.34157752951011466</v>
      </c>
      <c r="H14" s="929">
        <f t="shared" si="5"/>
        <v>3784.804</v>
      </c>
      <c r="I14" s="1202"/>
      <c r="J14" s="687"/>
      <c r="K14" s="705" t="s">
        <v>271</v>
      </c>
      <c r="L14" s="706">
        <f ca="1" t="shared" si="6"/>
        <v>0.8112096573333333</v>
      </c>
      <c r="M14" s="707" t="s">
        <v>124</v>
      </c>
      <c r="N14" s="691"/>
      <c r="O14" s="692"/>
      <c r="P14" s="708">
        <v>0.41149813160000004</v>
      </c>
      <c r="Q14" s="709">
        <v>1.617226266</v>
      </c>
      <c r="R14" s="709">
        <v>0.652131243</v>
      </c>
      <c r="S14" s="710">
        <v>0.4032405710383138</v>
      </c>
      <c r="T14" s="696">
        <v>27.13</v>
      </c>
      <c r="U14" s="697">
        <f t="shared" si="7"/>
        <v>0.024037273977147073</v>
      </c>
      <c r="V14" s="698"/>
      <c r="W14" s="692"/>
      <c r="X14" s="705" t="s">
        <v>271</v>
      </c>
      <c r="Y14" s="711">
        <f ca="1" t="shared" si="8"/>
        <v>0.5030352472523018</v>
      </c>
      <c r="Z14" s="712">
        <f ca="1" t="shared" si="9"/>
        <v>0.25715270761279935</v>
      </c>
      <c r="AA14" s="713">
        <f t="shared" si="10"/>
        <v>0.5112021652904616</v>
      </c>
      <c r="AB14" s="702">
        <f>VLOOKUP(X14,'JFSQ p3'!$A:$XFD,11,FALSE)</f>
        <v>2896.65</v>
      </c>
      <c r="AC14" s="702">
        <f ca="1" t="shared" si="11"/>
        <v>7523934</v>
      </c>
      <c r="AD14" s="702">
        <f t="shared" si="12"/>
        <v>1934799.9999999998</v>
      </c>
      <c r="AE14" s="702">
        <f ca="1" t="shared" si="17"/>
        <v>4339627</v>
      </c>
      <c r="AF14" s="703">
        <f ca="1" t="shared" si="13"/>
        <v>224000</v>
      </c>
      <c r="AH14" s="250">
        <v>41290</v>
      </c>
      <c r="AJ14" s="1175">
        <f t="shared" si="14"/>
        <v>182.22170016953257</v>
      </c>
      <c r="AL14" s="703" t="str">
        <f t="shared" si="3"/>
        <v>Switzerland</v>
      </c>
      <c r="AM14" s="703">
        <f t="shared" si="15"/>
        <v>0.5030352472523019</v>
      </c>
      <c r="AN14" s="703">
        <f t="shared" si="16"/>
        <v>0.005487820600233867</v>
      </c>
    </row>
    <row r="15" spans="1:40" s="703" customFormat="1" ht="16.5" customHeight="1" thickBot="1">
      <c r="A15" s="715" t="s">
        <v>199</v>
      </c>
      <c r="B15" s="907">
        <f ca="1" t="shared" si="4"/>
        <v>707.5</v>
      </c>
      <c r="C15" s="921">
        <f ca="1" t="shared" si="18"/>
        <v>0.4529159464822995</v>
      </c>
      <c r="D15" s="910">
        <f ca="1" t="shared" si="0"/>
        <v>234.6</v>
      </c>
      <c r="E15" s="921">
        <f ca="1" t="shared" si="19"/>
        <v>0.15018244670635683</v>
      </c>
      <c r="F15" s="910">
        <f ca="1" t="shared" si="1"/>
        <v>620</v>
      </c>
      <c r="G15" s="924">
        <f ca="1" t="shared" si="20"/>
        <v>0.3969016068113437</v>
      </c>
      <c r="H15" s="916">
        <f t="shared" si="5"/>
        <v>1562.1</v>
      </c>
      <c r="I15" s="1202"/>
      <c r="J15" s="687"/>
      <c r="K15" s="716" t="s">
        <v>199</v>
      </c>
      <c r="L15" s="717">
        <f ca="1" t="shared" si="6"/>
        <v>0.33481010000000005</v>
      </c>
      <c r="M15" s="718">
        <f>VLOOKUP(A15,'Eurobserver 2005'!$A$2:$E$27,3,FALSE)</f>
        <v>1.231</v>
      </c>
      <c r="N15" s="719">
        <f t="shared" si="2"/>
        <v>0.2719822095857027</v>
      </c>
      <c r="O15" s="692"/>
      <c r="P15" s="720">
        <v>0.3156921261</v>
      </c>
      <c r="Q15" s="721">
        <v>1.6098459246</v>
      </c>
      <c r="R15" s="721">
        <v>0.641755795</v>
      </c>
      <c r="S15" s="722">
        <v>0.39864423370792934</v>
      </c>
      <c r="T15" s="696">
        <v>233.69</v>
      </c>
      <c r="U15" s="697">
        <f t="shared" si="7"/>
        <v>0.00274618423980487</v>
      </c>
      <c r="V15" s="698"/>
      <c r="W15" s="692"/>
      <c r="X15" s="716" t="s">
        <v>199</v>
      </c>
      <c r="Y15" s="723">
        <f ca="1" t="shared" si="8"/>
        <v>0.025773334928471944</v>
      </c>
      <c r="Z15" s="724">
        <f ca="1" t="shared" si="9"/>
        <v>0.00957116163626309</v>
      </c>
      <c r="AA15" s="725">
        <f t="shared" si="10"/>
        <v>0.37135906792138784</v>
      </c>
      <c r="AB15" s="702">
        <f>VLOOKUP(X15,'JFSQ p3'!$A:$XFD,11,FALSE)</f>
        <v>8425.66</v>
      </c>
      <c r="AC15" s="702">
        <f ca="1" t="shared" si="11"/>
        <v>60609153</v>
      </c>
      <c r="AD15" s="702">
        <f t="shared" si="12"/>
        <v>580100</v>
      </c>
      <c r="AE15" s="702">
        <f ca="1" t="shared" si="17"/>
        <v>8338000</v>
      </c>
      <c r="AF15" s="703" t="str">
        <f ca="1" t="shared" si="13"/>
        <v>n.a.</v>
      </c>
      <c r="AH15" s="250">
        <v>244820</v>
      </c>
      <c r="AJ15" s="1175">
        <f t="shared" si="14"/>
        <v>247.56618331835634</v>
      </c>
      <c r="AL15" s="703" t="str">
        <f t="shared" si="3"/>
        <v>United Kingdom</v>
      </c>
      <c r="AM15" s="703">
        <f t="shared" si="15"/>
        <v>0.025773334928471944</v>
      </c>
      <c r="AN15" s="703">
        <f t="shared" si="16"/>
        <v>0.004039323895517893</v>
      </c>
    </row>
    <row r="16" spans="1:40" ht="5.25" customHeight="1" thickBot="1">
      <c r="A16" s="683"/>
      <c r="B16" s="847"/>
      <c r="C16" s="859"/>
      <c r="D16" s="847"/>
      <c r="E16" s="859"/>
      <c r="F16" s="847"/>
      <c r="G16" s="859"/>
      <c r="H16" s="914"/>
      <c r="I16" s="1168"/>
      <c r="J16" s="564"/>
      <c r="K16" s="565"/>
      <c r="L16" s="554"/>
      <c r="M16" s="554"/>
      <c r="N16" s="443"/>
      <c r="O16" s="443"/>
      <c r="P16" s="581"/>
      <c r="Q16" s="581"/>
      <c r="R16" s="581"/>
      <c r="S16" s="443"/>
      <c r="T16" s="621"/>
      <c r="U16" s="559"/>
      <c r="V16" s="615"/>
      <c r="W16" s="443"/>
      <c r="X16" s="440"/>
      <c r="Y16" s="449"/>
      <c r="Z16" s="595"/>
      <c r="AA16" s="596"/>
      <c r="AB16" s="250"/>
      <c r="AC16" s="250"/>
      <c r="AD16" s="250"/>
      <c r="AH16" s="250"/>
      <c r="AJ16" s="1175"/>
      <c r="AL16" s="703"/>
      <c r="AM16" s="703"/>
      <c r="AN16" s="703"/>
    </row>
    <row r="17" spans="1:40" ht="26.25" customHeight="1" thickBot="1">
      <c r="A17" s="934" t="s">
        <v>371</v>
      </c>
      <c r="B17" s="867">
        <f>SUM(B4:B15)</f>
        <v>43827.948577090436</v>
      </c>
      <c r="C17" s="935">
        <f>B17/(B17+D17+F17)</f>
        <v>0.23727742734113336</v>
      </c>
      <c r="D17" s="867">
        <f>SUM(D4:D15)</f>
        <v>53271.781375084924</v>
      </c>
      <c r="E17" s="935">
        <f>D17/(D17+F17+B17)</f>
        <v>0.288404811197727</v>
      </c>
      <c r="F17" s="867">
        <f>SUM(F4:F15)</f>
        <v>87612.10323067127</v>
      </c>
      <c r="G17" s="935">
        <f>F17/(D17+F17+B17)</f>
        <v>0.4743177614611397</v>
      </c>
      <c r="H17" s="936">
        <f>B17+D17+F17</f>
        <v>184711.83318284663</v>
      </c>
      <c r="I17" s="1170"/>
      <c r="J17" s="610"/>
      <c r="K17" s="611" t="s">
        <v>323</v>
      </c>
      <c r="L17" s="587">
        <f>SUM(L4:L15)-L14-L11</f>
        <v>37.54138978819012</v>
      </c>
      <c r="M17" s="588">
        <f>SUM(M4:M15)</f>
        <v>38.510999999999996</v>
      </c>
      <c r="N17" s="584">
        <f>L17/M17</f>
        <v>0.9748225127415576</v>
      </c>
      <c r="O17" s="443"/>
      <c r="P17" s="582">
        <v>9.5560157674</v>
      </c>
      <c r="Q17" s="583">
        <v>46.8240386088</v>
      </c>
      <c r="R17" s="583">
        <v>29.93516903543417</v>
      </c>
      <c r="S17" s="618">
        <v>0.6393119842893736</v>
      </c>
      <c r="T17" s="622">
        <f>SUM(T4:T15)</f>
        <v>1180.9199999999998</v>
      </c>
      <c r="U17" s="620">
        <f>R17/T17</f>
        <v>0.025349023672589316</v>
      </c>
      <c r="V17" s="449"/>
      <c r="W17" s="443"/>
      <c r="X17" s="447" t="s">
        <v>47</v>
      </c>
      <c r="Y17" s="592">
        <f>(B17+D17+F17)/AC17*1000</f>
        <v>0.6820808560955787</v>
      </c>
      <c r="Z17" s="593">
        <f>AD17/AC17</f>
        <v>0.3010293529291087</v>
      </c>
      <c r="AA17" s="594">
        <f t="shared" si="10"/>
        <v>0.44133968903963205</v>
      </c>
      <c r="AB17" s="250">
        <f>SUM(AB4:AB15)</f>
        <v>295611.06</v>
      </c>
      <c r="AC17" s="250">
        <f>SUM(AC4:AC16)</f>
        <v>270806359</v>
      </c>
      <c r="AD17" s="250">
        <f>SUM(AD4:AD16)</f>
        <v>81520663.01885791</v>
      </c>
      <c r="AE17" s="250">
        <f>SUM(AE4:AE16)</f>
        <v>378383451.1846435</v>
      </c>
      <c r="AF17" s="250">
        <f>SUM(AF4:AF16)</f>
        <v>45793880.81516454</v>
      </c>
      <c r="AH17" s="250"/>
      <c r="AJ17" s="1175"/>
      <c r="AL17" s="703"/>
      <c r="AM17" s="703"/>
      <c r="AN17" s="703"/>
    </row>
    <row r="18" spans="1:40" ht="19.5" customHeight="1" thickBot="1">
      <c r="A18" s="438"/>
      <c r="B18" s="908"/>
      <c r="C18" s="922"/>
      <c r="D18" s="908"/>
      <c r="E18" s="922"/>
      <c r="F18" s="908"/>
      <c r="G18" s="922"/>
      <c r="H18" s="855"/>
      <c r="I18" s="1168"/>
      <c r="J18" s="564"/>
      <c r="K18" s="612"/>
      <c r="L18" s="554"/>
      <c r="M18" s="554"/>
      <c r="N18" s="449"/>
      <c r="O18" s="449"/>
      <c r="P18" s="581"/>
      <c r="Q18" s="581"/>
      <c r="R18" s="581"/>
      <c r="S18" s="449"/>
      <c r="T18" s="554"/>
      <c r="U18" s="559"/>
      <c r="V18" s="449"/>
      <c r="W18" s="449"/>
      <c r="X18" s="438"/>
      <c r="Y18" s="449"/>
      <c r="Z18" s="595"/>
      <c r="AA18" s="597"/>
      <c r="AB18" s="250"/>
      <c r="AD18" s="250"/>
      <c r="AH18" s="250"/>
      <c r="AJ18" s="1175"/>
      <c r="AL18" s="703"/>
      <c r="AM18" s="703"/>
      <c r="AN18" s="703"/>
    </row>
    <row r="19" spans="1:40" s="703" customFormat="1" ht="16.5" customHeight="1">
      <c r="A19" s="726" t="s">
        <v>256</v>
      </c>
      <c r="B19" s="909">
        <f ca="1">(INDIRECT(CONCATENATE("'",$A19,"'","!AL17")))/1000</f>
        <v>20401.616223950234</v>
      </c>
      <c r="C19" s="920">
        <f ca="1">INDIRECT(CONCATENATE("'",$A19,"'","!AL18"))</f>
        <v>0.4267262077232496</v>
      </c>
      <c r="D19" s="909">
        <f ca="1">(INDIRECT(CONCATENATE("'",$A19,"'","!AM17")))/1000</f>
        <v>24178</v>
      </c>
      <c r="E19" s="920">
        <f ca="1">INDIRECT(CONCATENATE("'",$A19,"'","!AM18"))</f>
        <v>0.5057141619113861</v>
      </c>
      <c r="F19" s="909">
        <f ca="1">(INDIRECT(CONCATENATE("'",$A19,"'","!AN17")))/1000</f>
        <v>3230</v>
      </c>
      <c r="G19" s="923">
        <f ca="1">INDIRECT(CONCATENATE("'",$A19,"'","!AN18"))</f>
        <v>0.06755963036536426</v>
      </c>
      <c r="H19" s="915">
        <f>B19+D19+F19</f>
        <v>47809.61622395023</v>
      </c>
      <c r="I19" s="1202"/>
      <c r="J19" s="687"/>
      <c r="K19" s="727" t="s">
        <v>256</v>
      </c>
      <c r="L19" s="689">
        <f ca="1" t="shared" si="6"/>
        <v>10.247194410666667</v>
      </c>
      <c r="M19" s="728" t="s">
        <v>124</v>
      </c>
      <c r="N19" s="729" t="s">
        <v>124</v>
      </c>
      <c r="O19" s="698"/>
      <c r="P19" s="730">
        <v>0.7247920122000001</v>
      </c>
      <c r="Q19" s="731">
        <v>11.3536401484</v>
      </c>
      <c r="R19" s="731">
        <v>8.766600308000001</v>
      </c>
      <c r="S19" s="732">
        <v>0.7721400531824523</v>
      </c>
      <c r="T19" s="733">
        <v>269.05</v>
      </c>
      <c r="U19" s="734">
        <f t="shared" si="7"/>
        <v>0.03258353580375395</v>
      </c>
      <c r="V19" s="735"/>
      <c r="W19" s="698"/>
      <c r="X19" s="736" t="s">
        <v>256</v>
      </c>
      <c r="Y19" s="689">
        <f ca="1" t="shared" si="8"/>
        <v>1.4444458879806223</v>
      </c>
      <c r="Z19" s="728">
        <f ca="1" t="shared" si="9"/>
        <v>0.09305436199572845</v>
      </c>
      <c r="AA19" s="737">
        <f t="shared" si="10"/>
        <v>0.06442218623074981</v>
      </c>
      <c r="AB19" s="702">
        <f>VLOOKUP(X19,'JFSQ p3'!$A:$XFD,11,FALSE)</f>
        <v>201330.93</v>
      </c>
      <c r="AC19" s="702">
        <f ca="1">INDIRECT(CONCATENATE("'",$A19,"'","!AL9"))</f>
        <v>33098932</v>
      </c>
      <c r="AD19" s="702">
        <f>Z19*AC19</f>
        <v>3080000</v>
      </c>
      <c r="AE19" s="702">
        <f ca="1">INDIRECT(CONCATENATE("'",$A19,"'","!AN22"))</f>
        <v>204410000</v>
      </c>
      <c r="AF19" s="703">
        <f ca="1">INDIRECT(CONCATENATE("'",$A19,"'","!AN25"))</f>
        <v>20178000</v>
      </c>
      <c r="AH19" s="250">
        <v>9984670</v>
      </c>
      <c r="AJ19" s="1175">
        <f t="shared" si="14"/>
        <v>3.314975056762016</v>
      </c>
      <c r="AL19" s="703" t="str">
        <f>A19</f>
        <v>Canada</v>
      </c>
      <c r="AM19" s="703">
        <f t="shared" si="15"/>
        <v>1.4444458879806221</v>
      </c>
      <c r="AN19" s="703">
        <f t="shared" si="16"/>
        <v>0.30166139499606814</v>
      </c>
    </row>
    <row r="20" spans="1:40" s="703" customFormat="1" ht="16.5" customHeight="1" thickBot="1">
      <c r="A20" s="738" t="s">
        <v>285</v>
      </c>
      <c r="B20" s="910">
        <f ca="1">(INDIRECT(CONCATENATE("'",$A20,"'","!AL17")))/1000</f>
        <v>81761.91132096054</v>
      </c>
      <c r="C20" s="921">
        <f ca="1">INDIRECT(CONCATENATE("'",$A20,"'","!AL18"))</f>
        <v>0.3848072556363023</v>
      </c>
      <c r="D20" s="910">
        <f ca="1">(INDIRECT(CONCATENATE("'",$A20,"'","!AM17")))/1000</f>
        <v>87469.52418322556</v>
      </c>
      <c r="E20" s="921">
        <f ca="1">INDIRECT(CONCATENATE("'",$A20,"'","!AM18"))</f>
        <v>0.41166977396884047</v>
      </c>
      <c r="F20" s="910">
        <f ca="1">(INDIRECT(CONCATENATE("'",$A20,"'","!AN17")))/1000</f>
        <v>43243.537676249995</v>
      </c>
      <c r="G20" s="924">
        <f ca="1">INDIRECT(CONCATENATE("'",$A20,"'","!AN18"))</f>
        <v>0.20352297039485734</v>
      </c>
      <c r="H20" s="916">
        <f>B20+D20+F20</f>
        <v>212474.97318043606</v>
      </c>
      <c r="I20" s="1202"/>
      <c r="J20" s="687"/>
      <c r="K20" s="727" t="s">
        <v>285</v>
      </c>
      <c r="L20" s="717">
        <f ca="1" t="shared" si="6"/>
        <v>45.540469251673464</v>
      </c>
      <c r="M20" s="739" t="s">
        <v>124</v>
      </c>
      <c r="N20" s="740" t="s">
        <v>124</v>
      </c>
      <c r="O20" s="741"/>
      <c r="P20" s="720">
        <v>6.1078377045000005</v>
      </c>
      <c r="Q20" s="721">
        <v>58.9244546608</v>
      </c>
      <c r="R20" s="721">
        <v>30.24043048200735</v>
      </c>
      <c r="S20" s="742">
        <v>0.5132067942942722</v>
      </c>
      <c r="T20" s="743">
        <v>2325.89</v>
      </c>
      <c r="U20" s="744">
        <f t="shared" si="7"/>
        <v>0.013001659787009425</v>
      </c>
      <c r="V20" s="735"/>
      <c r="W20" s="698" t="s">
        <v>379</v>
      </c>
      <c r="X20" s="745" t="s">
        <v>285</v>
      </c>
      <c r="Y20" s="717">
        <f ca="1" t="shared" si="8"/>
        <v>0.7119420062487594</v>
      </c>
      <c r="Z20" s="739">
        <f ca="1" t="shared" si="9"/>
        <v>0.15660658924147683</v>
      </c>
      <c r="AA20" s="746">
        <f t="shared" si="10"/>
        <v>0.21997099183210295</v>
      </c>
      <c r="AB20" s="702">
        <f>VLOOKUP(W20,'JFSQ p3'!$A:$XFD,11,FALSE)</f>
        <v>450295.25</v>
      </c>
      <c r="AC20" s="702">
        <f ca="1">INDIRECT(CONCATENATE("'",$A20,"'","!AL9"))</f>
        <v>298444215</v>
      </c>
      <c r="AD20" s="702">
        <f>Z20*AC20</f>
        <v>46738330.589999996</v>
      </c>
      <c r="AE20" s="702">
        <f ca="1">INDIRECT(CONCATENATE("'",$A20,"'","!AN22"))</f>
        <v>492892965.67635</v>
      </c>
      <c r="AF20" s="703">
        <f ca="1">INDIRECT(CONCATENATE("'",$A20,"'","!AN25"))</f>
        <v>97263944.23921311</v>
      </c>
      <c r="AH20" s="250">
        <v>9826630</v>
      </c>
      <c r="AJ20" s="1175">
        <f t="shared" si="14"/>
        <v>30.37096288351144</v>
      </c>
      <c r="AL20" s="703" t="str">
        <f>A20</f>
        <v>USA</v>
      </c>
      <c r="AM20" s="703">
        <f t="shared" si="15"/>
        <v>0.7119420062487594</v>
      </c>
      <c r="AN20" s="703">
        <f t="shared" si="16"/>
        <v>0.03292618689224718</v>
      </c>
    </row>
    <row r="21" spans="1:38" ht="5.25" customHeight="1" thickBot="1">
      <c r="A21" s="438"/>
      <c r="B21" s="908"/>
      <c r="C21" s="922"/>
      <c r="D21" s="908"/>
      <c r="E21" s="922"/>
      <c r="F21" s="908"/>
      <c r="G21" s="922"/>
      <c r="H21" s="908"/>
      <c r="I21" s="1168"/>
      <c r="J21" s="441"/>
      <c r="L21" s="441"/>
      <c r="M21" s="441"/>
      <c r="N21" s="441"/>
      <c r="O21" s="442"/>
      <c r="P21" s="558"/>
      <c r="Q21" s="558"/>
      <c r="R21" s="558"/>
      <c r="S21" s="442"/>
      <c r="T21" s="623"/>
      <c r="U21" s="559"/>
      <c r="V21" s="568"/>
      <c r="W21" s="441"/>
      <c r="X21" s="438"/>
      <c r="Y21" s="449"/>
      <c r="AB21" s="250"/>
      <c r="AC21" s="250"/>
      <c r="AD21" s="250"/>
      <c r="AJ21" s="1175"/>
      <c r="AL21" s="703"/>
    </row>
    <row r="22" spans="1:38" ht="29.25" thickBot="1">
      <c r="A22" s="684" t="s">
        <v>287</v>
      </c>
      <c r="B22" s="867">
        <f>SUM(B19:B20)</f>
        <v>102163.52754491077</v>
      </c>
      <c r="C22" s="935">
        <f>B22/(B22+D22+F22)</f>
        <v>0.39250701618060957</v>
      </c>
      <c r="D22" s="867">
        <f>SUM(D19:D20)</f>
        <v>111647.52418322556</v>
      </c>
      <c r="E22" s="935">
        <f>D22/(D22+F22+B22)</f>
        <v>0.4289440432824336</v>
      </c>
      <c r="F22" s="867">
        <f>SUM(F19:F20)</f>
        <v>46473.537676249995</v>
      </c>
      <c r="G22" s="935">
        <f>F22/(D22+F22+B22)</f>
        <v>0.1785489405369568</v>
      </c>
      <c r="H22" s="937">
        <f>SUM(H19:H20)</f>
        <v>260284.5894043863</v>
      </c>
      <c r="I22" s="1170"/>
      <c r="J22" s="442"/>
      <c r="K22" s="442" t="s">
        <v>335</v>
      </c>
      <c r="L22" s="585">
        <f>SUM(L19:L21)</f>
        <v>55.78766366234013</v>
      </c>
      <c r="M22" s="566"/>
      <c r="N22" s="567"/>
      <c r="O22" s="442"/>
      <c r="P22" s="585">
        <v>6.8326297167000005</v>
      </c>
      <c r="Q22" s="586">
        <v>70.2780948092</v>
      </c>
      <c r="R22" s="586">
        <v>39.00703079000735</v>
      </c>
      <c r="S22" s="619">
        <v>0.5550382504805893</v>
      </c>
      <c r="T22" s="624">
        <f>SUM(T19:T20)</f>
        <v>2594.94</v>
      </c>
      <c r="U22" s="620">
        <f t="shared" si="7"/>
        <v>0.01503195865415283</v>
      </c>
      <c r="V22" s="568"/>
      <c r="W22" s="442"/>
      <c r="X22" s="447" t="s">
        <v>287</v>
      </c>
      <c r="Y22" s="598">
        <f>((B22+D22+F22)/AC22)*1000</f>
        <v>0.7850700331452977</v>
      </c>
      <c r="Z22" s="599">
        <f>AD22/AC22</f>
        <v>0.15026198261308052</v>
      </c>
      <c r="AA22" s="600">
        <f>Z22/Y22</f>
        <v>0.19139946281107206</v>
      </c>
      <c r="AB22" s="250">
        <f>SUM(AB19:AB20)</f>
        <v>651626.1799999999</v>
      </c>
      <c r="AC22" s="250">
        <f>SUM(AC19:AC20)</f>
        <v>331543147</v>
      </c>
      <c r="AD22" s="250">
        <f>SUM(AD19:AD20)</f>
        <v>49818330.589999996</v>
      </c>
      <c r="AE22" s="250">
        <f>SUM(AE19:AE20)</f>
        <v>697302965.67635</v>
      </c>
      <c r="AF22" s="250">
        <f>SUM(AF19:AF20)</f>
        <v>117441944.23921311</v>
      </c>
      <c r="AL22" s="703"/>
    </row>
    <row r="23" spans="1:25" ht="27.75" customHeight="1">
      <c r="A23" s="1171"/>
      <c r="B23" s="1203"/>
      <c r="C23" s="1170"/>
      <c r="D23" s="1203"/>
      <c r="E23" s="1170"/>
      <c r="F23" s="1203"/>
      <c r="G23" s="1170"/>
      <c r="H23" s="1170"/>
      <c r="I23" s="1170"/>
      <c r="J23" s="442"/>
      <c r="K23" s="442"/>
      <c r="L23" s="558"/>
      <c r="M23" s="442"/>
      <c r="N23" s="442"/>
      <c r="O23" s="442"/>
      <c r="P23" s="442"/>
      <c r="Q23" s="442"/>
      <c r="R23" s="442"/>
      <c r="S23" s="442"/>
      <c r="T23" s="625"/>
      <c r="U23" s="442"/>
      <c r="V23" s="442"/>
      <c r="W23" s="442"/>
      <c r="X23" s="442"/>
      <c r="Y23" s="442"/>
    </row>
    <row r="24" spans="1:28" ht="15.75">
      <c r="A24" s="438"/>
      <c r="B24" s="613"/>
      <c r="C24" s="442"/>
      <c r="D24" s="613"/>
      <c r="E24" s="442"/>
      <c r="F24" s="613"/>
      <c r="G24" s="442"/>
      <c r="H24" s="442"/>
      <c r="I24" s="442"/>
      <c r="J24" s="442"/>
      <c r="K24" s="442"/>
      <c r="L24" s="558"/>
      <c r="M24" s="442"/>
      <c r="N24" s="442"/>
      <c r="O24" s="442"/>
      <c r="P24" s="442"/>
      <c r="Q24" s="442"/>
      <c r="R24" s="442"/>
      <c r="S24" s="442"/>
      <c r="T24" s="625"/>
      <c r="U24" s="442"/>
      <c r="V24" s="442"/>
      <c r="W24" s="442"/>
      <c r="X24" s="442"/>
      <c r="Y24" s="442"/>
      <c r="AB24" s="250">
        <f>AB22+AB17</f>
        <v>947237.24</v>
      </c>
    </row>
    <row r="25" spans="1:25" ht="15.75">
      <c r="A25" s="438"/>
      <c r="B25" s="613"/>
      <c r="C25" s="442"/>
      <c r="D25" s="613"/>
      <c r="E25" s="442"/>
      <c r="F25" s="613"/>
      <c r="G25" s="442"/>
      <c r="H25" s="442"/>
      <c r="I25" s="442"/>
      <c r="J25" s="442"/>
      <c r="K25" s="442"/>
      <c r="L25" s="558"/>
      <c r="M25" s="442"/>
      <c r="N25" s="442"/>
      <c r="O25" s="442"/>
      <c r="P25" s="442"/>
      <c r="Q25" s="442"/>
      <c r="R25" s="442"/>
      <c r="S25" s="442"/>
      <c r="T25" s="625"/>
      <c r="U25" s="442"/>
      <c r="V25" s="442"/>
      <c r="W25" s="442"/>
      <c r="X25" s="442"/>
      <c r="Y25" s="442"/>
    </row>
    <row r="26" spans="1:25" ht="15.75">
      <c r="A26" s="438"/>
      <c r="B26" s="604"/>
      <c r="C26" s="1173"/>
      <c r="D26" s="604"/>
      <c r="E26" s="442"/>
      <c r="F26" s="568"/>
      <c r="G26" s="442"/>
      <c r="H26" s="442"/>
      <c r="I26" s="442"/>
      <c r="J26" s="442"/>
      <c r="K26" s="442"/>
      <c r="L26" s="558"/>
      <c r="M26" s="442"/>
      <c r="N26" s="442"/>
      <c r="O26" s="442"/>
      <c r="P26" s="442"/>
      <c r="Q26" s="442"/>
      <c r="R26" s="442"/>
      <c r="S26" s="442"/>
      <c r="T26" s="625"/>
      <c r="U26" s="442"/>
      <c r="V26" s="442"/>
      <c r="W26" s="442"/>
      <c r="X26" s="442"/>
      <c r="Y26" s="442"/>
    </row>
    <row r="27" spans="1:28" ht="15.75">
      <c r="A27" s="438"/>
      <c r="B27" s="604"/>
      <c r="C27" s="1173"/>
      <c r="D27" s="604"/>
      <c r="E27" s="442"/>
      <c r="F27" s="568"/>
      <c r="G27" s="442"/>
      <c r="H27" s="568"/>
      <c r="I27" s="442"/>
      <c r="J27" s="442"/>
      <c r="K27" s="442"/>
      <c r="L27" s="558"/>
      <c r="M27" s="442"/>
      <c r="N27" s="442"/>
      <c r="O27" s="442"/>
      <c r="P27" s="442"/>
      <c r="Q27" s="442"/>
      <c r="R27" s="442"/>
      <c r="S27" s="442"/>
      <c r="T27" s="625"/>
      <c r="U27" s="442"/>
      <c r="V27" s="442"/>
      <c r="W27" s="442"/>
      <c r="X27" s="442"/>
      <c r="Y27" s="442"/>
      <c r="AA27" s="250"/>
      <c r="AB27" t="s">
        <v>397</v>
      </c>
    </row>
    <row r="28" spans="1:28" ht="15.75">
      <c r="A28" s="438"/>
      <c r="B28" s="604"/>
      <c r="C28" s="1173"/>
      <c r="D28" s="604"/>
      <c r="E28" s="442"/>
      <c r="F28" s="568"/>
      <c r="G28" s="442"/>
      <c r="H28" s="568"/>
      <c r="I28" s="442"/>
      <c r="J28" s="442"/>
      <c r="K28" s="442"/>
      <c r="L28" s="558"/>
      <c r="M28" s="442"/>
      <c r="N28" s="442"/>
      <c r="O28" s="442"/>
      <c r="P28" s="442"/>
      <c r="Q28" s="442"/>
      <c r="R28" s="442"/>
      <c r="S28" s="442"/>
      <c r="T28" s="625"/>
      <c r="U28" s="442"/>
      <c r="V28" s="442"/>
      <c r="W28" s="442"/>
      <c r="X28" s="442"/>
      <c r="Y28" s="442"/>
      <c r="AB28" s="250">
        <f>SUM('JFSQ p3'!K47)</f>
        <v>466554.23</v>
      </c>
    </row>
    <row r="29" spans="1:28" ht="15.75">
      <c r="A29" s="438"/>
      <c r="B29" s="568"/>
      <c r="C29" s="442"/>
      <c r="D29" s="568"/>
      <c r="E29" s="442"/>
      <c r="F29" s="568"/>
      <c r="G29" s="442"/>
      <c r="H29" s="568"/>
      <c r="I29" s="442"/>
      <c r="J29" s="442"/>
      <c r="K29" s="442"/>
      <c r="L29" s="558"/>
      <c r="M29" s="442"/>
      <c r="N29" s="442"/>
      <c r="O29" s="442"/>
      <c r="P29" s="442"/>
      <c r="Q29" s="442"/>
      <c r="R29" s="442"/>
      <c r="S29" s="442"/>
      <c r="T29" s="625"/>
      <c r="U29" s="442"/>
      <c r="V29" s="442"/>
      <c r="W29" s="442"/>
      <c r="X29" s="442"/>
      <c r="Y29" s="442"/>
      <c r="AB29">
        <f>AB17/AB28</f>
        <v>0.6336049294848318</v>
      </c>
    </row>
    <row r="30" spans="1:14" ht="190.5" customHeight="1" hidden="1">
      <c r="A30" s="1340" t="s">
        <v>540</v>
      </c>
      <c r="B30" s="1340"/>
      <c r="C30" s="1340"/>
      <c r="D30" s="1340"/>
      <c r="E30" s="1340"/>
      <c r="F30" s="1340"/>
      <c r="G30" s="1340"/>
      <c r="H30" s="1340"/>
      <c r="I30" s="1340"/>
      <c r="J30" s="1341"/>
      <c r="K30" s="1341"/>
      <c r="L30" s="1341"/>
      <c r="M30" s="1341"/>
      <c r="N30" s="1341"/>
    </row>
    <row r="31" spans="1:22" ht="190.5" customHeight="1" hidden="1">
      <c r="A31" s="1339" t="s">
        <v>370</v>
      </c>
      <c r="B31" s="1340"/>
      <c r="C31" s="1340"/>
      <c r="D31" s="1340"/>
      <c r="E31" s="1340"/>
      <c r="F31" s="1340"/>
      <c r="G31" s="1340"/>
      <c r="H31" s="1340"/>
      <c r="I31" s="1340"/>
      <c r="J31" s="1340"/>
      <c r="K31" s="1341"/>
      <c r="L31" s="1341"/>
      <c r="M31" s="1341"/>
      <c r="N31" s="1341"/>
      <c r="O31" s="542"/>
      <c r="P31" s="542"/>
      <c r="Q31" s="542"/>
      <c r="R31" s="542"/>
      <c r="S31" s="542"/>
      <c r="T31" s="626"/>
      <c r="U31" s="542"/>
      <c r="V31" s="542"/>
    </row>
    <row r="32" spans="1:23" ht="15.75">
      <c r="A32" s="438"/>
      <c r="B32" s="568"/>
      <c r="C32" s="442"/>
      <c r="D32" s="568"/>
      <c r="E32" s="442"/>
      <c r="F32" s="568"/>
      <c r="G32" s="442"/>
      <c r="H32" s="442"/>
      <c r="I32" s="442"/>
      <c r="J32" s="558"/>
      <c r="K32" s="442"/>
      <c r="L32" s="442"/>
      <c r="M32" s="442"/>
      <c r="N32" s="442"/>
      <c r="O32" s="442"/>
      <c r="P32" s="442"/>
      <c r="Q32" s="442"/>
      <c r="R32" s="442"/>
      <c r="S32" s="442"/>
      <c r="T32" s="625"/>
      <c r="U32" s="442"/>
      <c r="V32" s="442"/>
      <c r="W32" s="442"/>
    </row>
    <row r="33" spans="1:23" ht="15.75">
      <c r="A33" s="438"/>
      <c r="B33" s="568"/>
      <c r="C33" s="442"/>
      <c r="D33" s="568"/>
      <c r="E33" s="442"/>
      <c r="F33" s="568"/>
      <c r="G33" s="442"/>
      <c r="H33" s="442"/>
      <c r="I33" s="442"/>
      <c r="J33" s="558"/>
      <c r="K33" s="442"/>
      <c r="L33" s="442"/>
      <c r="M33" s="442"/>
      <c r="N33" s="442"/>
      <c r="O33" s="442"/>
      <c r="P33" s="442"/>
      <c r="Q33" s="442"/>
      <c r="R33" s="442"/>
      <c r="S33" s="442"/>
      <c r="T33" s="625"/>
      <c r="U33" s="442"/>
      <c r="V33" s="442"/>
      <c r="W33" s="442"/>
    </row>
    <row r="34" spans="1:23" ht="15.75">
      <c r="A34" s="438"/>
      <c r="B34" s="568"/>
      <c r="C34" s="442"/>
      <c r="D34" s="568"/>
      <c r="E34" s="442"/>
      <c r="F34" s="568"/>
      <c r="G34" s="442"/>
      <c r="H34" s="442"/>
      <c r="I34" s="442"/>
      <c r="J34" s="558"/>
      <c r="K34" s="442"/>
      <c r="L34" s="442"/>
      <c r="M34" s="557"/>
      <c r="N34" s="557"/>
      <c r="O34" s="557"/>
      <c r="P34" s="557"/>
      <c r="Q34" s="557"/>
      <c r="R34" s="557"/>
      <c r="S34" s="442"/>
      <c r="T34" s="625"/>
      <c r="U34" s="442"/>
      <c r="V34" s="442"/>
      <c r="W34" s="442"/>
    </row>
    <row r="35" spans="1:22" ht="15">
      <c r="A35" s="438"/>
      <c r="B35" s="439"/>
      <c r="C35" s="439"/>
      <c r="D35" s="439"/>
      <c r="E35" s="443"/>
      <c r="F35" s="439"/>
      <c r="G35" s="443"/>
      <c r="H35" s="443"/>
      <c r="I35" s="250"/>
      <c r="J35" s="250"/>
      <c r="K35" s="250"/>
      <c r="L35" s="557"/>
      <c r="S35" s="557"/>
      <c r="T35" s="627"/>
      <c r="U35" s="557"/>
      <c r="V35" s="557"/>
    </row>
    <row r="36" spans="2:31" s="703" customFormat="1" ht="19.5" customHeight="1" thickBot="1">
      <c r="B36" s="749"/>
      <c r="C36" s="749"/>
      <c r="D36" s="749"/>
      <c r="E36" s="749"/>
      <c r="F36" s="749"/>
      <c r="G36" s="749"/>
      <c r="H36" s="749"/>
      <c r="K36" s="752" t="s">
        <v>381</v>
      </c>
      <c r="L36" s="750">
        <v>651626</v>
      </c>
      <c r="M36" s="751">
        <v>242656</v>
      </c>
      <c r="N36" s="753">
        <v>0.372</v>
      </c>
      <c r="O36" s="747"/>
      <c r="P36" s="747"/>
      <c r="Q36" s="747"/>
      <c r="R36" s="747"/>
      <c r="S36" s="747"/>
      <c r="T36" s="748"/>
      <c r="U36" s="747"/>
      <c r="V36" s="747"/>
      <c r="AE36" s="702"/>
    </row>
    <row r="37" spans="2:31" s="703" customFormat="1" ht="19.5" customHeight="1" thickBot="1" thickTop="1">
      <c r="B37" s="749"/>
      <c r="C37" s="749"/>
      <c r="D37" s="749"/>
      <c r="E37" s="749"/>
      <c r="F37" s="749"/>
      <c r="G37" s="749"/>
      <c r="H37" s="749"/>
      <c r="K37" s="754" t="s">
        <v>372</v>
      </c>
      <c r="L37" s="755">
        <v>947237</v>
      </c>
      <c r="M37" s="756">
        <v>439076</v>
      </c>
      <c r="N37" s="757">
        <v>0.464</v>
      </c>
      <c r="O37" s="747"/>
      <c r="P37" s="747"/>
      <c r="Q37" s="747"/>
      <c r="R37" s="747"/>
      <c r="S37" s="747"/>
      <c r="T37" s="748"/>
      <c r="U37" s="747"/>
      <c r="V37" s="747"/>
      <c r="AE37" s="702"/>
    </row>
    <row r="38" spans="2:8" ht="12.75">
      <c r="B38" s="437"/>
      <c r="C38" s="437"/>
      <c r="D38" s="437"/>
      <c r="E38" s="437"/>
      <c r="F38" s="437"/>
      <c r="G38" s="437"/>
      <c r="H38" s="437"/>
    </row>
    <row r="39" spans="2:8" ht="12.75">
      <c r="B39" s="437"/>
      <c r="C39" s="437"/>
      <c r="D39" s="437"/>
      <c r="E39" s="437"/>
      <c r="F39" s="437"/>
      <c r="G39" s="437"/>
      <c r="H39" s="437"/>
    </row>
    <row r="40" spans="2:8" ht="12.75">
      <c r="B40" s="437"/>
      <c r="C40" s="437"/>
      <c r="D40" s="437"/>
      <c r="E40" s="437"/>
      <c r="F40" s="437"/>
      <c r="G40" s="437"/>
      <c r="H40" s="437"/>
    </row>
    <row r="41" spans="2:8" ht="12.75">
      <c r="B41" s="437"/>
      <c r="C41" s="437"/>
      <c r="D41" s="437"/>
      <c r="E41" s="437"/>
      <c r="F41" s="437"/>
      <c r="G41" s="437"/>
      <c r="H41" s="437"/>
    </row>
    <row r="42" spans="2:8" ht="12.75">
      <c r="B42" s="437"/>
      <c r="C42" s="437"/>
      <c r="D42" s="437"/>
      <c r="E42" s="437"/>
      <c r="F42" s="437"/>
      <c r="G42" s="437"/>
      <c r="H42" s="437"/>
    </row>
    <row r="43" spans="2:8" ht="12.75">
      <c r="B43" s="437"/>
      <c r="C43" s="437"/>
      <c r="D43" s="437"/>
      <c r="E43" s="437"/>
      <c r="F43" s="437"/>
      <c r="G43" s="437"/>
      <c r="H43" s="437"/>
    </row>
    <row r="44" spans="2:8" ht="12.75">
      <c r="B44" s="437"/>
      <c r="C44" s="437"/>
      <c r="D44" s="437"/>
      <c r="E44" s="437"/>
      <c r="F44" s="437"/>
      <c r="G44" s="437"/>
      <c r="H44" s="437"/>
    </row>
    <row r="45" spans="2:8" ht="12.75">
      <c r="B45" s="437"/>
      <c r="C45" s="437"/>
      <c r="D45" s="437"/>
      <c r="E45" s="437"/>
      <c r="F45" s="437"/>
      <c r="G45" s="437"/>
      <c r="H45" s="437"/>
    </row>
    <row r="46" spans="2:8" ht="12.75">
      <c r="B46" s="437"/>
      <c r="C46" s="437"/>
      <c r="D46" s="437"/>
      <c r="E46" s="437"/>
      <c r="F46" s="437"/>
      <c r="G46" s="437"/>
      <c r="H46" s="437"/>
    </row>
    <row r="47" spans="2:8" ht="12.75">
      <c r="B47" s="437"/>
      <c r="C47" s="437"/>
      <c r="D47" s="437"/>
      <c r="E47" s="437"/>
      <c r="F47" s="437"/>
      <c r="G47" s="437"/>
      <c r="H47" s="437"/>
    </row>
    <row r="48" spans="2:8" ht="12.75">
      <c r="B48" s="437"/>
      <c r="C48" s="437"/>
      <c r="D48" s="437"/>
      <c r="E48" s="437"/>
      <c r="F48" s="437"/>
      <c r="G48" s="437"/>
      <c r="H48" s="437"/>
    </row>
    <row r="49" spans="2:8" ht="12.75">
      <c r="B49" s="437"/>
      <c r="C49" s="437"/>
      <c r="D49" s="437"/>
      <c r="E49" s="437"/>
      <c r="F49" s="437"/>
      <c r="G49" s="437"/>
      <c r="H49" s="437"/>
    </row>
    <row r="50" spans="2:8" ht="12.75">
      <c r="B50" s="437"/>
      <c r="C50" s="437"/>
      <c r="D50" s="437"/>
      <c r="E50" s="437"/>
      <c r="F50" s="437"/>
      <c r="G50" s="437"/>
      <c r="H50" s="437"/>
    </row>
    <row r="51" spans="2:8" ht="12.75">
      <c r="B51" s="437"/>
      <c r="C51" s="437"/>
      <c r="D51" s="437"/>
      <c r="E51" s="437"/>
      <c r="F51" s="437"/>
      <c r="G51" s="437"/>
      <c r="H51" s="437"/>
    </row>
    <row r="52" spans="2:8" ht="12.75">
      <c r="B52" s="437"/>
      <c r="C52" s="437"/>
      <c r="D52" s="437"/>
      <c r="E52" s="437"/>
      <c r="F52" s="437"/>
      <c r="G52" s="437"/>
      <c r="H52" s="437"/>
    </row>
    <row r="53" spans="2:8" ht="12.75">
      <c r="B53" s="437"/>
      <c r="C53" s="437"/>
      <c r="D53" s="437"/>
      <c r="E53" s="437"/>
      <c r="F53" s="437"/>
      <c r="G53" s="437"/>
      <c r="H53" s="437"/>
    </row>
    <row r="54" spans="2:8" ht="12.75">
      <c r="B54" s="437"/>
      <c r="C54" s="437"/>
      <c r="D54" s="437"/>
      <c r="E54" s="437"/>
      <c r="F54" s="437"/>
      <c r="G54" s="437"/>
      <c r="H54" s="437"/>
    </row>
    <row r="55" spans="2:8" ht="12.75">
      <c r="B55" s="437"/>
      <c r="C55" s="437"/>
      <c r="D55" s="437"/>
      <c r="E55" s="437"/>
      <c r="F55" s="437"/>
      <c r="G55" s="437"/>
      <c r="H55" s="437"/>
    </row>
    <row r="56" spans="2:8" ht="12.75">
      <c r="B56" s="437"/>
      <c r="C56" s="437"/>
      <c r="D56" s="437"/>
      <c r="E56" s="437"/>
      <c r="F56" s="437"/>
      <c r="G56" s="437"/>
      <c r="H56" s="437"/>
    </row>
    <row r="57" spans="2:8" ht="12.75">
      <c r="B57" s="437"/>
      <c r="C57" s="437"/>
      <c r="D57" s="437"/>
      <c r="E57" s="437"/>
      <c r="F57" s="437"/>
      <c r="G57" s="437"/>
      <c r="H57" s="437"/>
    </row>
    <row r="58" spans="2:8" ht="12.75">
      <c r="B58" s="437"/>
      <c r="C58" s="437"/>
      <c r="D58" s="437"/>
      <c r="E58" s="437"/>
      <c r="F58" s="437"/>
      <c r="G58" s="437"/>
      <c r="H58" s="437"/>
    </row>
    <row r="59" spans="2:8" ht="12.75">
      <c r="B59" s="437"/>
      <c r="C59" s="437"/>
      <c r="D59" s="437"/>
      <c r="E59" s="437"/>
      <c r="F59" s="437"/>
      <c r="G59" s="437"/>
      <c r="H59" s="437"/>
    </row>
    <row r="60" spans="2:8" ht="12.75">
      <c r="B60" s="437"/>
      <c r="C60" s="437"/>
      <c r="D60" s="437"/>
      <c r="E60" s="437"/>
      <c r="F60" s="437"/>
      <c r="G60" s="437"/>
      <c r="H60" s="437"/>
    </row>
    <row r="61" spans="2:8" ht="12.75">
      <c r="B61" s="437"/>
      <c r="C61" s="437"/>
      <c r="D61" s="437"/>
      <c r="E61" s="437"/>
      <c r="F61" s="437"/>
      <c r="G61" s="437"/>
      <c r="H61" s="437"/>
    </row>
    <row r="62" spans="2:8" ht="12.75">
      <c r="B62" s="437"/>
      <c r="C62" s="437"/>
      <c r="D62" s="437"/>
      <c r="E62" s="437"/>
      <c r="F62" s="437"/>
      <c r="G62" s="437"/>
      <c r="H62" s="437"/>
    </row>
    <row r="63" spans="2:8" ht="12.75">
      <c r="B63" s="437"/>
      <c r="C63" s="437"/>
      <c r="D63" s="437"/>
      <c r="E63" s="437"/>
      <c r="F63" s="437"/>
      <c r="G63" s="437"/>
      <c r="H63" s="437"/>
    </row>
    <row r="64" spans="2:8" ht="12.75">
      <c r="B64" s="437"/>
      <c r="C64" s="437"/>
      <c r="D64" s="437"/>
      <c r="E64" s="437"/>
      <c r="F64" s="437"/>
      <c r="G64" s="437"/>
      <c r="H64" s="437"/>
    </row>
    <row r="65" spans="2:8" ht="12.75">
      <c r="B65" s="437"/>
      <c r="C65" s="437"/>
      <c r="D65" s="437"/>
      <c r="E65" s="437"/>
      <c r="F65" s="437"/>
      <c r="G65" s="437"/>
      <c r="H65" s="437"/>
    </row>
    <row r="66" spans="2:8" ht="12.75">
      <c r="B66" s="437"/>
      <c r="C66" s="437"/>
      <c r="D66" s="437"/>
      <c r="E66" s="437"/>
      <c r="F66" s="437"/>
      <c r="G66" s="437"/>
      <c r="H66" s="437"/>
    </row>
    <row r="67" spans="2:8" ht="12.75">
      <c r="B67" s="437"/>
      <c r="C67" s="437"/>
      <c r="D67" s="437"/>
      <c r="E67" s="437"/>
      <c r="F67" s="437"/>
      <c r="G67" s="437"/>
      <c r="H67" s="437"/>
    </row>
    <row r="68" spans="2:8" ht="12.75">
      <c r="B68" s="437"/>
      <c r="C68" s="437"/>
      <c r="D68" s="437"/>
      <c r="E68" s="437"/>
      <c r="F68" s="437"/>
      <c r="G68" s="437"/>
      <c r="H68" s="437"/>
    </row>
    <row r="69" spans="2:8" ht="12.75">
      <c r="B69" s="437"/>
      <c r="C69" s="437"/>
      <c r="D69" s="437"/>
      <c r="E69" s="437"/>
      <c r="F69" s="437"/>
      <c r="G69" s="437"/>
      <c r="H69" s="437"/>
    </row>
    <row r="70" spans="2:8" ht="12.75">
      <c r="B70" s="437"/>
      <c r="C70" s="437"/>
      <c r="D70" s="437"/>
      <c r="E70" s="437"/>
      <c r="F70" s="437"/>
      <c r="G70" s="437"/>
      <c r="H70" s="437"/>
    </row>
    <row r="71" spans="2:8" ht="12.75">
      <c r="B71" s="437"/>
      <c r="C71" s="437"/>
      <c r="D71" s="437"/>
      <c r="E71" s="437"/>
      <c r="F71" s="437"/>
      <c r="G71" s="437"/>
      <c r="H71" s="437"/>
    </row>
    <row r="72" spans="2:8" ht="12.75">
      <c r="B72" s="437"/>
      <c r="C72" s="437"/>
      <c r="D72" s="437"/>
      <c r="E72" s="437"/>
      <c r="F72" s="437"/>
      <c r="G72" s="437"/>
      <c r="H72" s="437"/>
    </row>
    <row r="73" spans="2:8" ht="12.75">
      <c r="B73" s="437"/>
      <c r="C73" s="437"/>
      <c r="D73" s="437"/>
      <c r="E73" s="437"/>
      <c r="F73" s="437"/>
      <c r="G73" s="437"/>
      <c r="H73" s="437"/>
    </row>
    <row r="74" spans="2:8" ht="12.75">
      <c r="B74" s="437"/>
      <c r="C74" s="437"/>
      <c r="D74" s="437"/>
      <c r="E74" s="437"/>
      <c r="F74" s="437"/>
      <c r="G74" s="437"/>
      <c r="H74" s="437"/>
    </row>
    <row r="75" spans="2:8" ht="12.75">
      <c r="B75" s="437"/>
      <c r="C75" s="437"/>
      <c r="D75" s="437"/>
      <c r="E75" s="437"/>
      <c r="F75" s="437"/>
      <c r="G75" s="437"/>
      <c r="H75" s="437"/>
    </row>
    <row r="76" spans="2:8" ht="12.75">
      <c r="B76" s="437"/>
      <c r="C76" s="437"/>
      <c r="D76" s="437"/>
      <c r="E76" s="437"/>
      <c r="F76" s="437"/>
      <c r="G76" s="437"/>
      <c r="H76" s="437"/>
    </row>
    <row r="77" spans="2:8" ht="12.75">
      <c r="B77" s="437"/>
      <c r="C77" s="437"/>
      <c r="D77" s="437"/>
      <c r="E77" s="437"/>
      <c r="F77" s="437"/>
      <c r="G77" s="437"/>
      <c r="H77" s="437"/>
    </row>
    <row r="78" spans="2:8" ht="12.75">
      <c r="B78" s="437"/>
      <c r="C78" s="437"/>
      <c r="D78" s="437"/>
      <c r="E78" s="437"/>
      <c r="F78" s="437"/>
      <c r="G78" s="437"/>
      <c r="H78" s="437"/>
    </row>
    <row r="79" spans="2:8" ht="12.75">
      <c r="B79" s="437"/>
      <c r="C79" s="437"/>
      <c r="D79" s="437"/>
      <c r="E79" s="437"/>
      <c r="F79" s="437"/>
      <c r="G79" s="437"/>
      <c r="H79" s="437"/>
    </row>
    <row r="80" spans="2:8" ht="12.75">
      <c r="B80" s="437"/>
      <c r="C80" s="437"/>
      <c r="D80" s="437"/>
      <c r="E80" s="437"/>
      <c r="F80" s="437"/>
      <c r="G80" s="437"/>
      <c r="H80" s="437"/>
    </row>
    <row r="81" spans="2:8" ht="12.75">
      <c r="B81" s="437"/>
      <c r="C81" s="437"/>
      <c r="D81" s="437"/>
      <c r="E81" s="437"/>
      <c r="F81" s="437"/>
      <c r="G81" s="437"/>
      <c r="H81" s="437"/>
    </row>
    <row r="82" spans="2:8" ht="12.75">
      <c r="B82" s="437"/>
      <c r="C82" s="437"/>
      <c r="D82" s="437"/>
      <c r="E82" s="437"/>
      <c r="F82" s="437"/>
      <c r="G82" s="437"/>
      <c r="H82" s="437"/>
    </row>
    <row r="83" spans="2:8" ht="12.75">
      <c r="B83" s="437"/>
      <c r="C83" s="437"/>
      <c r="D83" s="437"/>
      <c r="E83" s="437"/>
      <c r="F83" s="437"/>
      <c r="G83" s="437"/>
      <c r="H83" s="437"/>
    </row>
    <row r="84" spans="2:8" ht="12.75">
      <c r="B84" s="437"/>
      <c r="C84" s="437"/>
      <c r="D84" s="437"/>
      <c r="E84" s="437"/>
      <c r="F84" s="437"/>
      <c r="G84" s="437"/>
      <c r="H84" s="437"/>
    </row>
    <row r="85" spans="2:8" ht="12.75">
      <c r="B85" s="437"/>
      <c r="C85" s="437"/>
      <c r="D85" s="437"/>
      <c r="E85" s="437"/>
      <c r="F85" s="437"/>
      <c r="G85" s="437"/>
      <c r="H85" s="437"/>
    </row>
    <row r="86" spans="2:8" ht="12.75">
      <c r="B86" s="437"/>
      <c r="C86" s="437"/>
      <c r="D86" s="437"/>
      <c r="E86" s="437"/>
      <c r="F86" s="437"/>
      <c r="G86" s="437"/>
      <c r="H86" s="437"/>
    </row>
    <row r="87" spans="2:8" ht="12.75">
      <c r="B87" s="437"/>
      <c r="C87" s="437"/>
      <c r="D87" s="437"/>
      <c r="E87" s="437"/>
      <c r="F87" s="437"/>
      <c r="G87" s="437"/>
      <c r="H87" s="437"/>
    </row>
    <row r="88" spans="2:8" ht="12.75">
      <c r="B88" s="437"/>
      <c r="C88" s="437"/>
      <c r="D88" s="437"/>
      <c r="E88" s="437"/>
      <c r="F88" s="437"/>
      <c r="G88" s="437"/>
      <c r="H88" s="437"/>
    </row>
    <row r="89" spans="2:8" ht="12.75">
      <c r="B89" s="437"/>
      <c r="C89" s="437"/>
      <c r="D89" s="437"/>
      <c r="E89" s="437"/>
      <c r="F89" s="437"/>
      <c r="G89" s="437"/>
      <c r="H89" s="437"/>
    </row>
    <row r="90" spans="2:8" ht="12.75">
      <c r="B90" s="437"/>
      <c r="C90" s="437"/>
      <c r="D90" s="437"/>
      <c r="E90" s="437"/>
      <c r="F90" s="437"/>
      <c r="G90" s="437"/>
      <c r="H90" s="437"/>
    </row>
    <row r="91" spans="2:8" ht="12.75">
      <c r="B91" s="437"/>
      <c r="C91" s="437"/>
      <c r="D91" s="437"/>
      <c r="E91" s="437"/>
      <c r="F91" s="437"/>
      <c r="G91" s="437"/>
      <c r="H91" s="437"/>
    </row>
    <row r="92" spans="2:8" ht="12.75">
      <c r="B92" s="437"/>
      <c r="C92" s="437"/>
      <c r="D92" s="437"/>
      <c r="E92" s="437"/>
      <c r="F92" s="437"/>
      <c r="G92" s="437"/>
      <c r="H92" s="437"/>
    </row>
    <row r="93" spans="2:8" ht="12.75">
      <c r="B93" s="437"/>
      <c r="C93" s="437"/>
      <c r="D93" s="437"/>
      <c r="E93" s="437"/>
      <c r="F93" s="437"/>
      <c r="G93" s="437"/>
      <c r="H93" s="437"/>
    </row>
    <row r="94" spans="2:8" ht="12.75">
      <c r="B94" s="437"/>
      <c r="C94" s="437"/>
      <c r="D94" s="437"/>
      <c r="E94" s="437"/>
      <c r="F94" s="437"/>
      <c r="G94" s="437"/>
      <c r="H94" s="437"/>
    </row>
    <row r="95" spans="2:8" ht="12.75">
      <c r="B95" s="437"/>
      <c r="C95" s="437"/>
      <c r="D95" s="437"/>
      <c r="E95" s="437"/>
      <c r="F95" s="437"/>
      <c r="G95" s="437"/>
      <c r="H95" s="437"/>
    </row>
    <row r="96" spans="2:8" ht="12.75">
      <c r="B96" s="437"/>
      <c r="C96" s="437"/>
      <c r="D96" s="437"/>
      <c r="E96" s="437"/>
      <c r="F96" s="437"/>
      <c r="G96" s="437"/>
      <c r="H96" s="437"/>
    </row>
    <row r="97" spans="2:8" ht="12.75">
      <c r="B97" s="437"/>
      <c r="C97" s="437"/>
      <c r="D97" s="437"/>
      <c r="E97" s="437"/>
      <c r="F97" s="437"/>
      <c r="G97" s="437"/>
      <c r="H97" s="437"/>
    </row>
    <row r="98" spans="2:8" ht="12.75">
      <c r="B98" s="437"/>
      <c r="C98" s="437"/>
      <c r="D98" s="437"/>
      <c r="E98" s="437"/>
      <c r="F98" s="437"/>
      <c r="G98" s="437"/>
      <c r="H98" s="437"/>
    </row>
    <row r="99" spans="2:8" ht="12.75">
      <c r="B99" s="437"/>
      <c r="C99" s="437"/>
      <c r="D99" s="437"/>
      <c r="E99" s="437"/>
      <c r="F99" s="437"/>
      <c r="G99" s="437"/>
      <c r="H99" s="437"/>
    </row>
    <row r="100" spans="2:8" ht="12.75">
      <c r="B100" s="437"/>
      <c r="C100" s="437"/>
      <c r="D100" s="437"/>
      <c r="E100" s="437"/>
      <c r="F100" s="437"/>
      <c r="G100" s="437"/>
      <c r="H100" s="437"/>
    </row>
    <row r="101" spans="2:8" ht="12.75">
      <c r="B101" s="437"/>
      <c r="C101" s="437"/>
      <c r="D101" s="437"/>
      <c r="E101" s="437"/>
      <c r="F101" s="437"/>
      <c r="G101" s="437"/>
      <c r="H101" s="437"/>
    </row>
    <row r="102" spans="2:8" ht="12.75">
      <c r="B102" s="437"/>
      <c r="C102" s="437"/>
      <c r="D102" s="437"/>
      <c r="E102" s="437"/>
      <c r="F102" s="437"/>
      <c r="G102" s="437"/>
      <c r="H102" s="437"/>
    </row>
    <row r="103" spans="2:8" ht="12.75">
      <c r="B103" s="437"/>
      <c r="C103" s="437"/>
      <c r="D103" s="437"/>
      <c r="E103" s="437"/>
      <c r="F103" s="437"/>
      <c r="G103" s="437"/>
      <c r="H103" s="437"/>
    </row>
    <row r="104" spans="2:8" ht="12.75">
      <c r="B104" s="437"/>
      <c r="C104" s="437"/>
      <c r="D104" s="437"/>
      <c r="E104" s="437"/>
      <c r="F104" s="437"/>
      <c r="G104" s="437"/>
      <c r="H104" s="437"/>
    </row>
    <row r="105" spans="2:8" ht="12.75">
      <c r="B105" s="437"/>
      <c r="C105" s="437"/>
      <c r="D105" s="437"/>
      <c r="E105" s="437"/>
      <c r="F105" s="437"/>
      <c r="G105" s="437"/>
      <c r="H105" s="437"/>
    </row>
    <row r="106" spans="2:8" ht="12.75">
      <c r="B106" s="437"/>
      <c r="C106" s="437"/>
      <c r="D106" s="437"/>
      <c r="E106" s="437"/>
      <c r="F106" s="437"/>
      <c r="G106" s="437"/>
      <c r="H106" s="437"/>
    </row>
    <row r="107" spans="2:8" ht="12.75">
      <c r="B107" s="437"/>
      <c r="C107" s="437"/>
      <c r="D107" s="437"/>
      <c r="E107" s="437"/>
      <c r="F107" s="437"/>
      <c r="G107" s="437"/>
      <c r="H107" s="437"/>
    </row>
    <row r="108" spans="2:8" ht="12.75">
      <c r="B108" s="437"/>
      <c r="C108" s="437"/>
      <c r="D108" s="437"/>
      <c r="E108" s="437"/>
      <c r="F108" s="437"/>
      <c r="G108" s="437"/>
      <c r="H108" s="437"/>
    </row>
    <row r="109" spans="2:8" ht="12.75">
      <c r="B109" s="437"/>
      <c r="C109" s="437"/>
      <c r="D109" s="437"/>
      <c r="E109" s="437"/>
      <c r="F109" s="437"/>
      <c r="G109" s="437"/>
      <c r="H109" s="437"/>
    </row>
    <row r="110" spans="2:8" ht="12.75">
      <c r="B110" s="437"/>
      <c r="C110" s="437"/>
      <c r="D110" s="437"/>
      <c r="E110" s="437"/>
      <c r="F110" s="437"/>
      <c r="G110" s="437"/>
      <c r="H110" s="437"/>
    </row>
    <row r="111" spans="2:8" ht="12.75">
      <c r="B111" s="437"/>
      <c r="C111" s="437"/>
      <c r="D111" s="437"/>
      <c r="E111" s="437"/>
      <c r="F111" s="437"/>
      <c r="G111" s="437"/>
      <c r="H111" s="437"/>
    </row>
    <row r="112" spans="2:8" ht="12.75">
      <c r="B112" s="437"/>
      <c r="C112" s="437"/>
      <c r="D112" s="437"/>
      <c r="E112" s="437"/>
      <c r="F112" s="437"/>
      <c r="G112" s="437"/>
      <c r="H112" s="437"/>
    </row>
    <row r="113" spans="2:8" ht="12.75">
      <c r="B113" s="437"/>
      <c r="C113" s="437"/>
      <c r="D113" s="437"/>
      <c r="E113" s="437"/>
      <c r="F113" s="437"/>
      <c r="G113" s="437"/>
      <c r="H113" s="437"/>
    </row>
    <row r="114" spans="2:8" ht="12.75">
      <c r="B114" s="437"/>
      <c r="C114" s="437"/>
      <c r="D114" s="437"/>
      <c r="E114" s="437"/>
      <c r="F114" s="437"/>
      <c r="G114" s="437"/>
      <c r="H114" s="437"/>
    </row>
    <row r="115" spans="2:8" ht="12.75">
      <c r="B115" s="437"/>
      <c r="C115" s="437"/>
      <c r="D115" s="437"/>
      <c r="E115" s="437"/>
      <c r="F115" s="437"/>
      <c r="G115" s="437"/>
      <c r="H115" s="437"/>
    </row>
    <row r="116" spans="2:8" ht="12.75">
      <c r="B116" s="437"/>
      <c r="C116" s="437"/>
      <c r="D116" s="437"/>
      <c r="E116" s="437"/>
      <c r="F116" s="437"/>
      <c r="G116" s="437"/>
      <c r="H116" s="437"/>
    </row>
    <row r="117" spans="2:8" ht="12.75">
      <c r="B117" s="437"/>
      <c r="C117" s="437"/>
      <c r="D117" s="437"/>
      <c r="E117" s="437"/>
      <c r="F117" s="437"/>
      <c r="G117" s="437"/>
      <c r="H117" s="437"/>
    </row>
    <row r="118" spans="2:8" ht="12.75">
      <c r="B118" s="437"/>
      <c r="C118" s="437"/>
      <c r="D118" s="437"/>
      <c r="E118" s="437"/>
      <c r="F118" s="437"/>
      <c r="G118" s="437"/>
      <c r="H118" s="437"/>
    </row>
    <row r="119" spans="2:8" ht="12.75">
      <c r="B119" s="437"/>
      <c r="C119" s="437"/>
      <c r="D119" s="437"/>
      <c r="E119" s="437"/>
      <c r="F119" s="437"/>
      <c r="G119" s="437"/>
      <c r="H119" s="437"/>
    </row>
    <row r="120" spans="2:8" ht="12.75">
      <c r="B120" s="437"/>
      <c r="C120" s="437"/>
      <c r="D120" s="437"/>
      <c r="E120" s="437"/>
      <c r="F120" s="437"/>
      <c r="G120" s="437"/>
      <c r="H120" s="437"/>
    </row>
    <row r="121" spans="2:8" ht="12.75">
      <c r="B121" s="437"/>
      <c r="C121" s="437"/>
      <c r="D121" s="437"/>
      <c r="E121" s="437"/>
      <c r="F121" s="437"/>
      <c r="G121" s="437"/>
      <c r="H121" s="437"/>
    </row>
    <row r="122" spans="2:8" ht="12.75">
      <c r="B122" s="437"/>
      <c r="C122" s="437"/>
      <c r="D122" s="437"/>
      <c r="E122" s="437"/>
      <c r="F122" s="437"/>
      <c r="G122" s="437"/>
      <c r="H122" s="437"/>
    </row>
    <row r="123" spans="2:8" ht="12.75">
      <c r="B123" s="437"/>
      <c r="C123" s="437"/>
      <c r="D123" s="437"/>
      <c r="E123" s="437"/>
      <c r="F123" s="437"/>
      <c r="G123" s="437"/>
      <c r="H123" s="437"/>
    </row>
    <row r="124" spans="2:8" ht="12.75">
      <c r="B124" s="437"/>
      <c r="C124" s="437"/>
      <c r="D124" s="437"/>
      <c r="E124" s="437"/>
      <c r="F124" s="437"/>
      <c r="G124" s="437"/>
      <c r="H124" s="437"/>
    </row>
    <row r="125" spans="2:8" ht="12.75">
      <c r="B125" s="437"/>
      <c r="C125" s="437"/>
      <c r="D125" s="437"/>
      <c r="E125" s="437"/>
      <c r="F125" s="437"/>
      <c r="G125" s="437"/>
      <c r="H125" s="437"/>
    </row>
    <row r="126" spans="2:8" ht="12.75">
      <c r="B126" s="437"/>
      <c r="C126" s="437"/>
      <c r="D126" s="437"/>
      <c r="E126" s="437"/>
      <c r="F126" s="437"/>
      <c r="G126" s="437"/>
      <c r="H126" s="437"/>
    </row>
    <row r="127" spans="2:8" ht="12.75">
      <c r="B127" s="437"/>
      <c r="C127" s="437"/>
      <c r="D127" s="437"/>
      <c r="E127" s="437"/>
      <c r="F127" s="437"/>
      <c r="G127" s="437"/>
      <c r="H127" s="437"/>
    </row>
    <row r="128" spans="2:8" ht="12.75">
      <c r="B128" s="437"/>
      <c r="C128" s="437"/>
      <c r="D128" s="437"/>
      <c r="E128" s="437"/>
      <c r="F128" s="437"/>
      <c r="G128" s="437"/>
      <c r="H128" s="437"/>
    </row>
    <row r="129" spans="2:8" ht="12.75">
      <c r="B129" s="437"/>
      <c r="C129" s="437"/>
      <c r="D129" s="437"/>
      <c r="E129" s="437"/>
      <c r="F129" s="437"/>
      <c r="G129" s="437"/>
      <c r="H129" s="437"/>
    </row>
    <row r="130" spans="2:8" ht="12.75">
      <c r="B130" s="437"/>
      <c r="C130" s="437"/>
      <c r="D130" s="437"/>
      <c r="E130" s="437"/>
      <c r="F130" s="437"/>
      <c r="G130" s="437"/>
      <c r="H130" s="437"/>
    </row>
    <row r="131" spans="2:8" ht="12.75">
      <c r="B131" s="437"/>
      <c r="C131" s="437"/>
      <c r="D131" s="437"/>
      <c r="E131" s="437"/>
      <c r="F131" s="437"/>
      <c r="G131" s="437"/>
      <c r="H131" s="437"/>
    </row>
    <row r="132" spans="2:8" ht="12.75">
      <c r="B132" s="437"/>
      <c r="C132" s="437"/>
      <c r="D132" s="437"/>
      <c r="E132" s="437"/>
      <c r="F132" s="437"/>
      <c r="G132" s="437"/>
      <c r="H132" s="437"/>
    </row>
    <row r="133" spans="2:8" ht="12.75">
      <c r="B133" s="437"/>
      <c r="C133" s="437"/>
      <c r="D133" s="437"/>
      <c r="E133" s="437"/>
      <c r="F133" s="437"/>
      <c r="G133" s="437"/>
      <c r="H133" s="437"/>
    </row>
    <row r="134" spans="2:8" ht="12.75">
      <c r="B134" s="437"/>
      <c r="C134" s="437"/>
      <c r="D134" s="437"/>
      <c r="E134" s="437"/>
      <c r="F134" s="437"/>
      <c r="G134" s="437"/>
      <c r="H134" s="437"/>
    </row>
    <row r="135" spans="2:8" ht="12.75">
      <c r="B135" s="437"/>
      <c r="C135" s="437"/>
      <c r="D135" s="437"/>
      <c r="E135" s="437"/>
      <c r="F135" s="437"/>
      <c r="G135" s="437"/>
      <c r="H135" s="437"/>
    </row>
    <row r="136" spans="2:8" ht="12.75">
      <c r="B136" s="437"/>
      <c r="C136" s="437"/>
      <c r="D136" s="437"/>
      <c r="E136" s="437"/>
      <c r="F136" s="437"/>
      <c r="G136" s="437"/>
      <c r="H136" s="437"/>
    </row>
    <row r="137" spans="2:8" ht="12.75">
      <c r="B137" s="437"/>
      <c r="C137" s="437"/>
      <c r="D137" s="437"/>
      <c r="E137" s="437"/>
      <c r="F137" s="437"/>
      <c r="G137" s="437"/>
      <c r="H137" s="437"/>
    </row>
    <row r="138" spans="2:8" ht="12.75">
      <c r="B138" s="437"/>
      <c r="C138" s="437"/>
      <c r="D138" s="437"/>
      <c r="E138" s="437"/>
      <c r="F138" s="437"/>
      <c r="G138" s="437"/>
      <c r="H138" s="437"/>
    </row>
    <row r="139" spans="2:8" ht="12.75">
      <c r="B139" s="437"/>
      <c r="C139" s="437"/>
      <c r="D139" s="437"/>
      <c r="E139" s="437"/>
      <c r="F139" s="437"/>
      <c r="G139" s="437"/>
      <c r="H139" s="437"/>
    </row>
    <row r="140" spans="2:8" ht="12.75">
      <c r="B140" s="437"/>
      <c r="C140" s="437"/>
      <c r="D140" s="437"/>
      <c r="E140" s="437"/>
      <c r="F140" s="437"/>
      <c r="G140" s="437"/>
      <c r="H140" s="437"/>
    </row>
    <row r="141" spans="2:8" ht="12.75">
      <c r="B141" s="437"/>
      <c r="C141" s="437"/>
      <c r="D141" s="437"/>
      <c r="E141" s="437"/>
      <c r="F141" s="437"/>
      <c r="G141" s="437"/>
      <c r="H141" s="437"/>
    </row>
    <row r="142" spans="2:8" ht="12.75">
      <c r="B142" s="437"/>
      <c r="C142" s="437"/>
      <c r="D142" s="437"/>
      <c r="E142" s="437"/>
      <c r="F142" s="437"/>
      <c r="G142" s="437"/>
      <c r="H142" s="437"/>
    </row>
    <row r="143" spans="2:8" ht="12.75">
      <c r="B143" s="437"/>
      <c r="C143" s="437"/>
      <c r="D143" s="437"/>
      <c r="E143" s="437"/>
      <c r="F143" s="437"/>
      <c r="G143" s="437"/>
      <c r="H143" s="437"/>
    </row>
    <row r="144" spans="2:8" ht="12.75">
      <c r="B144" s="437"/>
      <c r="C144" s="437"/>
      <c r="D144" s="437"/>
      <c r="E144" s="437"/>
      <c r="F144" s="437"/>
      <c r="G144" s="437"/>
      <c r="H144" s="437"/>
    </row>
    <row r="145" spans="2:8" ht="12.75">
      <c r="B145" s="437"/>
      <c r="C145" s="437"/>
      <c r="D145" s="437"/>
      <c r="E145" s="437"/>
      <c r="F145" s="437"/>
      <c r="G145" s="437"/>
      <c r="H145" s="437"/>
    </row>
    <row r="146" spans="2:8" ht="12.75">
      <c r="B146" s="437"/>
      <c r="C146" s="437"/>
      <c r="D146" s="437"/>
      <c r="E146" s="437"/>
      <c r="F146" s="437"/>
      <c r="G146" s="437"/>
      <c r="H146" s="437"/>
    </row>
    <row r="147" spans="2:8" ht="12.75">
      <c r="B147" s="437"/>
      <c r="C147" s="437"/>
      <c r="D147" s="437"/>
      <c r="E147" s="437"/>
      <c r="F147" s="437"/>
      <c r="G147" s="437"/>
      <c r="H147" s="437"/>
    </row>
    <row r="148" spans="2:8" ht="12.75">
      <c r="B148" s="437"/>
      <c r="C148" s="437"/>
      <c r="D148" s="437"/>
      <c r="E148" s="437"/>
      <c r="F148" s="437"/>
      <c r="G148" s="437"/>
      <c r="H148" s="437"/>
    </row>
    <row r="149" spans="2:8" ht="12.75">
      <c r="B149" s="437"/>
      <c r="C149" s="437"/>
      <c r="D149" s="437"/>
      <c r="E149" s="437"/>
      <c r="F149" s="437"/>
      <c r="G149" s="437"/>
      <c r="H149" s="437"/>
    </row>
    <row r="150" spans="2:8" ht="12.75">
      <c r="B150" s="437"/>
      <c r="C150" s="437"/>
      <c r="D150" s="437"/>
      <c r="E150" s="437"/>
      <c r="F150" s="437"/>
      <c r="G150" s="437"/>
      <c r="H150" s="437"/>
    </row>
    <row r="151" spans="2:8" ht="12.75">
      <c r="B151" s="437"/>
      <c r="C151" s="437"/>
      <c r="D151" s="437"/>
      <c r="E151" s="437"/>
      <c r="F151" s="437"/>
      <c r="G151" s="437"/>
      <c r="H151" s="437"/>
    </row>
    <row r="152" spans="2:8" ht="12.75">
      <c r="B152" s="437"/>
      <c r="C152" s="437"/>
      <c r="D152" s="437"/>
      <c r="E152" s="437"/>
      <c r="F152" s="437"/>
      <c r="G152" s="437"/>
      <c r="H152" s="437"/>
    </row>
    <row r="153" spans="2:8" ht="12.75">
      <c r="B153" s="437"/>
      <c r="C153" s="437"/>
      <c r="D153" s="437"/>
      <c r="E153" s="437"/>
      <c r="F153" s="437"/>
      <c r="G153" s="437"/>
      <c r="H153" s="437"/>
    </row>
    <row r="154" spans="2:8" ht="12.75">
      <c r="B154" s="437"/>
      <c r="C154" s="437"/>
      <c r="D154" s="437"/>
      <c r="E154" s="437"/>
      <c r="F154" s="437"/>
      <c r="G154" s="437"/>
      <c r="H154" s="437"/>
    </row>
    <row r="155" spans="2:8" ht="12.75">
      <c r="B155" s="437"/>
      <c r="C155" s="437"/>
      <c r="D155" s="437"/>
      <c r="E155" s="437"/>
      <c r="F155" s="437"/>
      <c r="G155" s="437"/>
      <c r="H155" s="437"/>
    </row>
    <row r="156" spans="2:8" ht="12.75">
      <c r="B156" s="437"/>
      <c r="C156" s="437"/>
      <c r="D156" s="437"/>
      <c r="E156" s="437"/>
      <c r="F156" s="437"/>
      <c r="G156" s="437"/>
      <c r="H156" s="437"/>
    </row>
    <row r="157" spans="2:8" ht="12.75">
      <c r="B157" s="437"/>
      <c r="C157" s="437"/>
      <c r="D157" s="437"/>
      <c r="E157" s="437"/>
      <c r="F157" s="437"/>
      <c r="G157" s="437"/>
      <c r="H157" s="437"/>
    </row>
    <row r="158" spans="2:8" ht="12.75">
      <c r="B158" s="437"/>
      <c r="C158" s="437"/>
      <c r="D158" s="437"/>
      <c r="E158" s="437"/>
      <c r="F158" s="437"/>
      <c r="G158" s="437"/>
      <c r="H158" s="437"/>
    </row>
    <row r="159" spans="2:8" ht="12.75">
      <c r="B159" s="437"/>
      <c r="C159" s="437"/>
      <c r="D159" s="437"/>
      <c r="E159" s="437"/>
      <c r="F159" s="437"/>
      <c r="G159" s="437"/>
      <c r="H159" s="437"/>
    </row>
    <row r="160" spans="2:8" ht="12.75">
      <c r="B160" s="437"/>
      <c r="C160" s="437"/>
      <c r="D160" s="437"/>
      <c r="E160" s="437"/>
      <c r="F160" s="437"/>
      <c r="G160" s="437"/>
      <c r="H160" s="437"/>
    </row>
    <row r="161" spans="2:8" ht="12.75">
      <c r="B161" s="437"/>
      <c r="C161" s="437"/>
      <c r="D161" s="437"/>
      <c r="E161" s="437"/>
      <c r="F161" s="437"/>
      <c r="G161" s="437"/>
      <c r="H161" s="437"/>
    </row>
    <row r="162" spans="2:8" ht="12.75">
      <c r="B162" s="437"/>
      <c r="C162" s="437"/>
      <c r="D162" s="437"/>
      <c r="E162" s="437"/>
      <c r="F162" s="437"/>
      <c r="G162" s="437"/>
      <c r="H162" s="437"/>
    </row>
    <row r="163" spans="2:8" ht="12.75">
      <c r="B163" s="437"/>
      <c r="C163" s="437"/>
      <c r="D163" s="437"/>
      <c r="E163" s="437"/>
      <c r="F163" s="437"/>
      <c r="G163" s="437"/>
      <c r="H163" s="437"/>
    </row>
    <row r="164" spans="2:8" ht="12.75">
      <c r="B164" s="437"/>
      <c r="C164" s="437"/>
      <c r="D164" s="437"/>
      <c r="E164" s="437"/>
      <c r="F164" s="437"/>
      <c r="G164" s="437"/>
      <c r="H164" s="437"/>
    </row>
    <row r="165" spans="2:8" ht="12.75">
      <c r="B165" s="437"/>
      <c r="C165" s="437"/>
      <c r="D165" s="437"/>
      <c r="E165" s="437"/>
      <c r="F165" s="437"/>
      <c r="G165" s="437"/>
      <c r="H165" s="437"/>
    </row>
    <row r="166" spans="2:8" ht="12.75">
      <c r="B166" s="437"/>
      <c r="C166" s="437"/>
      <c r="D166" s="437"/>
      <c r="E166" s="437"/>
      <c r="F166" s="437"/>
      <c r="G166" s="437"/>
      <c r="H166" s="437"/>
    </row>
    <row r="167" spans="2:8" ht="12.75">
      <c r="B167" s="437"/>
      <c r="C167" s="437"/>
      <c r="D167" s="437"/>
      <c r="E167" s="437"/>
      <c r="F167" s="437"/>
      <c r="G167" s="437"/>
      <c r="H167" s="437"/>
    </row>
    <row r="168" spans="2:8" ht="12.75">
      <c r="B168" s="437"/>
      <c r="C168" s="437"/>
      <c r="D168" s="437"/>
      <c r="E168" s="437"/>
      <c r="F168" s="437"/>
      <c r="G168" s="437"/>
      <c r="H168" s="437"/>
    </row>
    <row r="169" spans="2:8" ht="12.75">
      <c r="B169" s="437"/>
      <c r="C169" s="437"/>
      <c r="D169" s="437"/>
      <c r="E169" s="437"/>
      <c r="F169" s="437"/>
      <c r="G169" s="437"/>
      <c r="H169" s="437"/>
    </row>
    <row r="170" spans="2:8" ht="12.75">
      <c r="B170" s="437"/>
      <c r="C170" s="437"/>
      <c r="D170" s="437"/>
      <c r="E170" s="437"/>
      <c r="F170" s="437"/>
      <c r="G170" s="437"/>
      <c r="H170" s="437"/>
    </row>
    <row r="171" spans="2:8" ht="12.75">
      <c r="B171" s="437"/>
      <c r="C171" s="437"/>
      <c r="D171" s="437"/>
      <c r="E171" s="437"/>
      <c r="F171" s="437"/>
      <c r="G171" s="437"/>
      <c r="H171" s="437"/>
    </row>
    <row r="172" spans="2:8" ht="12.75">
      <c r="B172" s="437"/>
      <c r="C172" s="437"/>
      <c r="D172" s="437"/>
      <c r="E172" s="437"/>
      <c r="F172" s="437"/>
      <c r="G172" s="437"/>
      <c r="H172" s="437"/>
    </row>
    <row r="173" spans="2:8" ht="12.75">
      <c r="B173" s="437"/>
      <c r="C173" s="437"/>
      <c r="D173" s="437"/>
      <c r="E173" s="437"/>
      <c r="F173" s="437"/>
      <c r="G173" s="437"/>
      <c r="H173" s="437"/>
    </row>
    <row r="174" spans="2:8" ht="12.75">
      <c r="B174" s="437"/>
      <c r="C174" s="437"/>
      <c r="D174" s="437"/>
      <c r="E174" s="437"/>
      <c r="F174" s="437"/>
      <c r="G174" s="437"/>
      <c r="H174" s="437"/>
    </row>
    <row r="175" spans="2:8" ht="12.75">
      <c r="B175" s="437"/>
      <c r="C175" s="437"/>
      <c r="D175" s="437"/>
      <c r="E175" s="437"/>
      <c r="F175" s="437"/>
      <c r="G175" s="437"/>
      <c r="H175" s="437"/>
    </row>
    <row r="176" spans="2:8" ht="12.75">
      <c r="B176" s="437"/>
      <c r="C176" s="437"/>
      <c r="D176" s="437"/>
      <c r="E176" s="437"/>
      <c r="F176" s="437"/>
      <c r="G176" s="437"/>
      <c r="H176" s="437"/>
    </row>
    <row r="177" spans="2:8" ht="12.75">
      <c r="B177" s="437"/>
      <c r="C177" s="437"/>
      <c r="D177" s="437"/>
      <c r="E177" s="437"/>
      <c r="F177" s="437"/>
      <c r="G177" s="437"/>
      <c r="H177" s="437"/>
    </row>
    <row r="178" spans="2:8" ht="12.75">
      <c r="B178" s="437"/>
      <c r="C178" s="437"/>
      <c r="D178" s="437"/>
      <c r="E178" s="437"/>
      <c r="F178" s="437"/>
      <c r="G178" s="437"/>
      <c r="H178" s="437"/>
    </row>
    <row r="179" spans="2:8" ht="12.75">
      <c r="B179" s="437"/>
      <c r="C179" s="437"/>
      <c r="D179" s="437"/>
      <c r="E179" s="437"/>
      <c r="F179" s="437"/>
      <c r="G179" s="437"/>
      <c r="H179" s="437"/>
    </row>
    <row r="180" spans="2:8" ht="12.75">
      <c r="B180" s="437"/>
      <c r="C180" s="437"/>
      <c r="D180" s="437"/>
      <c r="E180" s="437"/>
      <c r="F180" s="437"/>
      <c r="G180" s="437"/>
      <c r="H180" s="437"/>
    </row>
    <row r="181" spans="2:8" ht="12.75">
      <c r="B181" s="437"/>
      <c r="C181" s="437"/>
      <c r="D181" s="437"/>
      <c r="E181" s="437"/>
      <c r="F181" s="437"/>
      <c r="G181" s="437"/>
      <c r="H181" s="437"/>
    </row>
    <row r="182" spans="2:8" ht="12.75">
      <c r="B182" s="437"/>
      <c r="C182" s="437"/>
      <c r="D182" s="437"/>
      <c r="E182" s="437"/>
      <c r="F182" s="437"/>
      <c r="G182" s="437"/>
      <c r="H182" s="437"/>
    </row>
    <row r="183" spans="2:8" ht="12.75">
      <c r="B183" s="437"/>
      <c r="C183" s="437"/>
      <c r="D183" s="437"/>
      <c r="E183" s="437"/>
      <c r="F183" s="437"/>
      <c r="G183" s="437"/>
      <c r="H183" s="437"/>
    </row>
    <row r="184" spans="2:8" ht="12.75">
      <c r="B184" s="437"/>
      <c r="C184" s="437"/>
      <c r="D184" s="437"/>
      <c r="E184" s="437"/>
      <c r="F184" s="437"/>
      <c r="G184" s="437"/>
      <c r="H184" s="437"/>
    </row>
    <row r="185" spans="2:8" ht="12.75">
      <c r="B185" s="437"/>
      <c r="C185" s="437"/>
      <c r="D185" s="437"/>
      <c r="E185" s="437"/>
      <c r="F185" s="437"/>
      <c r="G185" s="437"/>
      <c r="H185" s="437"/>
    </row>
    <row r="186" spans="2:8" ht="12.75">
      <c r="B186" s="437"/>
      <c r="C186" s="437"/>
      <c r="D186" s="437"/>
      <c r="E186" s="437"/>
      <c r="F186" s="437"/>
      <c r="G186" s="437"/>
      <c r="H186" s="437"/>
    </row>
    <row r="187" spans="2:8" ht="12.75">
      <c r="B187" s="437"/>
      <c r="C187" s="437"/>
      <c r="D187" s="437"/>
      <c r="E187" s="437"/>
      <c r="F187" s="437"/>
      <c r="G187" s="437"/>
      <c r="H187" s="437"/>
    </row>
    <row r="188" spans="2:8" ht="12.75">
      <c r="B188" s="437"/>
      <c r="C188" s="437"/>
      <c r="D188" s="437"/>
      <c r="E188" s="437"/>
      <c r="F188" s="437"/>
      <c r="G188" s="437"/>
      <c r="H188" s="437"/>
    </row>
    <row r="189" spans="2:8" ht="12.75">
      <c r="B189" s="437"/>
      <c r="C189" s="437"/>
      <c r="D189" s="437"/>
      <c r="E189" s="437"/>
      <c r="F189" s="437"/>
      <c r="G189" s="437"/>
      <c r="H189" s="437"/>
    </row>
    <row r="190" spans="2:8" ht="12.75">
      <c r="B190" s="437"/>
      <c r="C190" s="437"/>
      <c r="D190" s="437"/>
      <c r="E190" s="437"/>
      <c r="F190" s="437"/>
      <c r="G190" s="437"/>
      <c r="H190" s="437"/>
    </row>
    <row r="191" spans="2:8" ht="12.75">
      <c r="B191" s="437"/>
      <c r="C191" s="437"/>
      <c r="D191" s="437"/>
      <c r="E191" s="437"/>
      <c r="F191" s="437"/>
      <c r="G191" s="437"/>
      <c r="H191" s="437"/>
    </row>
    <row r="192" spans="2:8" ht="12.75">
      <c r="B192" s="437"/>
      <c r="C192" s="437"/>
      <c r="D192" s="437"/>
      <c r="E192" s="437"/>
      <c r="F192" s="437"/>
      <c r="G192" s="437"/>
      <c r="H192" s="437"/>
    </row>
    <row r="193" spans="2:8" ht="12.75">
      <c r="B193" s="437"/>
      <c r="C193" s="437"/>
      <c r="D193" s="437"/>
      <c r="E193" s="437"/>
      <c r="F193" s="437"/>
      <c r="G193" s="437"/>
      <c r="H193" s="437"/>
    </row>
    <row r="194" spans="2:8" ht="12.75">
      <c r="B194" s="437"/>
      <c r="C194" s="437"/>
      <c r="D194" s="437"/>
      <c r="E194" s="437"/>
      <c r="F194" s="437"/>
      <c r="G194" s="437"/>
      <c r="H194" s="437"/>
    </row>
    <row r="195" spans="2:8" ht="12.75">
      <c r="B195" s="437"/>
      <c r="C195" s="437"/>
      <c r="D195" s="437"/>
      <c r="E195" s="437"/>
      <c r="F195" s="437"/>
      <c r="G195" s="437"/>
      <c r="H195" s="437"/>
    </row>
    <row r="196" spans="2:8" ht="12.75">
      <c r="B196" s="437"/>
      <c r="C196" s="437"/>
      <c r="D196" s="437"/>
      <c r="E196" s="437"/>
      <c r="F196" s="437"/>
      <c r="G196" s="437"/>
      <c r="H196" s="437"/>
    </row>
    <row r="197" spans="2:8" ht="12.75">
      <c r="B197" s="437"/>
      <c r="C197" s="437"/>
      <c r="D197" s="437"/>
      <c r="E197" s="437"/>
      <c r="F197" s="437"/>
      <c r="G197" s="437"/>
      <c r="H197" s="437"/>
    </row>
    <row r="198" spans="2:8" ht="12.75">
      <c r="B198" s="437"/>
      <c r="C198" s="437"/>
      <c r="D198" s="437"/>
      <c r="E198" s="437"/>
      <c r="F198" s="437"/>
      <c r="G198" s="437"/>
      <c r="H198" s="437"/>
    </row>
    <row r="199" spans="2:8" ht="12.75">
      <c r="B199" s="437"/>
      <c r="C199" s="437"/>
      <c r="D199" s="437"/>
      <c r="E199" s="437"/>
      <c r="F199" s="437"/>
      <c r="G199" s="437"/>
      <c r="H199" s="437"/>
    </row>
    <row r="200" spans="2:8" ht="12.75">
      <c r="B200" s="437"/>
      <c r="C200" s="437"/>
      <c r="D200" s="437"/>
      <c r="E200" s="437"/>
      <c r="F200" s="437"/>
      <c r="G200" s="437"/>
      <c r="H200" s="437"/>
    </row>
    <row r="201" spans="2:8" ht="12.75">
      <c r="B201" s="437"/>
      <c r="C201" s="437"/>
      <c r="D201" s="437"/>
      <c r="E201" s="437"/>
      <c r="F201" s="437"/>
      <c r="G201" s="437"/>
      <c r="H201" s="437"/>
    </row>
    <row r="202" spans="2:8" ht="12.75">
      <c r="B202" s="437"/>
      <c r="C202" s="437"/>
      <c r="D202" s="437"/>
      <c r="E202" s="437"/>
      <c r="F202" s="437"/>
      <c r="G202" s="437"/>
      <c r="H202" s="437"/>
    </row>
    <row r="203" spans="2:8" ht="12.75">
      <c r="B203" s="437"/>
      <c r="C203" s="437"/>
      <c r="D203" s="437"/>
      <c r="E203" s="437"/>
      <c r="F203" s="437"/>
      <c r="G203" s="437"/>
      <c r="H203" s="437"/>
    </row>
    <row r="204" spans="2:8" ht="12.75">
      <c r="B204" s="437"/>
      <c r="C204" s="437"/>
      <c r="D204" s="437"/>
      <c r="E204" s="437"/>
      <c r="F204" s="437"/>
      <c r="G204" s="437"/>
      <c r="H204" s="437"/>
    </row>
    <row r="205" spans="2:8" ht="12.75">
      <c r="B205" s="437"/>
      <c r="C205" s="437"/>
      <c r="D205" s="437"/>
      <c r="E205" s="437"/>
      <c r="F205" s="437"/>
      <c r="G205" s="437"/>
      <c r="H205" s="437"/>
    </row>
    <row r="206" spans="2:8" ht="12.75">
      <c r="B206" s="437"/>
      <c r="C206" s="437"/>
      <c r="D206" s="437"/>
      <c r="E206" s="437"/>
      <c r="F206" s="437"/>
      <c r="G206" s="437"/>
      <c r="H206" s="437"/>
    </row>
    <row r="207" spans="2:8" ht="12.75">
      <c r="B207" s="437"/>
      <c r="C207" s="437"/>
      <c r="D207" s="437"/>
      <c r="E207" s="437"/>
      <c r="F207" s="437"/>
      <c r="G207" s="437"/>
      <c r="H207" s="437"/>
    </row>
    <row r="208" spans="2:8" ht="12.75">
      <c r="B208" s="437"/>
      <c r="C208" s="437"/>
      <c r="D208" s="437"/>
      <c r="E208" s="437"/>
      <c r="F208" s="437"/>
      <c r="G208" s="437"/>
      <c r="H208" s="437"/>
    </row>
    <row r="209" spans="2:8" ht="12.75">
      <c r="B209" s="437"/>
      <c r="C209" s="437"/>
      <c r="D209" s="437"/>
      <c r="E209" s="437"/>
      <c r="F209" s="437"/>
      <c r="G209" s="437"/>
      <c r="H209" s="437"/>
    </row>
    <row r="210" spans="2:8" ht="12.75">
      <c r="B210" s="437"/>
      <c r="C210" s="437"/>
      <c r="D210" s="437"/>
      <c r="E210" s="437"/>
      <c r="F210" s="437"/>
      <c r="G210" s="437"/>
      <c r="H210" s="437"/>
    </row>
    <row r="211" spans="2:8" ht="12.75">
      <c r="B211" s="437"/>
      <c r="C211" s="437"/>
      <c r="D211" s="437"/>
      <c r="E211" s="437"/>
      <c r="F211" s="437"/>
      <c r="G211" s="437"/>
      <c r="H211" s="437"/>
    </row>
    <row r="212" spans="2:8" ht="12.75">
      <c r="B212" s="437"/>
      <c r="C212" s="437"/>
      <c r="D212" s="437"/>
      <c r="E212" s="437"/>
      <c r="F212" s="437"/>
      <c r="G212" s="437"/>
      <c r="H212" s="437"/>
    </row>
    <row r="213" spans="2:8" ht="12.75">
      <c r="B213" s="437"/>
      <c r="C213" s="437"/>
      <c r="D213" s="437"/>
      <c r="E213" s="437"/>
      <c r="F213" s="437"/>
      <c r="G213" s="437"/>
      <c r="H213" s="437"/>
    </row>
    <row r="214" spans="2:8" ht="12.75">
      <c r="B214" s="437"/>
      <c r="C214" s="437"/>
      <c r="D214" s="437"/>
      <c r="E214" s="437"/>
      <c r="F214" s="437"/>
      <c r="G214" s="437"/>
      <c r="H214" s="437"/>
    </row>
    <row r="215" spans="2:8" ht="12.75">
      <c r="B215" s="437"/>
      <c r="C215" s="437"/>
      <c r="D215" s="437"/>
      <c r="E215" s="437"/>
      <c r="F215" s="437"/>
      <c r="G215" s="437"/>
      <c r="H215" s="437"/>
    </row>
    <row r="216" spans="2:8" ht="12.75">
      <c r="B216" s="437"/>
      <c r="C216" s="437"/>
      <c r="D216" s="437"/>
      <c r="E216" s="437"/>
      <c r="F216" s="437"/>
      <c r="G216" s="437"/>
      <c r="H216" s="437"/>
    </row>
    <row r="217" spans="2:8" ht="12.75">
      <c r="B217" s="437"/>
      <c r="C217" s="437"/>
      <c r="D217" s="437"/>
      <c r="E217" s="437"/>
      <c r="F217" s="437"/>
      <c r="G217" s="437"/>
      <c r="H217" s="437"/>
    </row>
    <row r="218" spans="2:8" ht="12.75">
      <c r="B218" s="437"/>
      <c r="C218" s="437"/>
      <c r="D218" s="437"/>
      <c r="E218" s="437"/>
      <c r="F218" s="437"/>
      <c r="G218" s="437"/>
      <c r="H218" s="437"/>
    </row>
    <row r="219" spans="2:8" ht="12.75">
      <c r="B219" s="437"/>
      <c r="C219" s="437"/>
      <c r="D219" s="437"/>
      <c r="E219" s="437"/>
      <c r="F219" s="437"/>
      <c r="G219" s="437"/>
      <c r="H219" s="437"/>
    </row>
    <row r="220" spans="2:8" ht="12.75">
      <c r="B220" s="437"/>
      <c r="C220" s="437"/>
      <c r="D220" s="437"/>
      <c r="E220" s="437"/>
      <c r="F220" s="437"/>
      <c r="G220" s="437"/>
      <c r="H220" s="437"/>
    </row>
    <row r="221" spans="2:8" ht="12.75">
      <c r="B221" s="437"/>
      <c r="C221" s="437"/>
      <c r="D221" s="437"/>
      <c r="E221" s="437"/>
      <c r="F221" s="437"/>
      <c r="G221" s="437"/>
      <c r="H221" s="437"/>
    </row>
    <row r="222" spans="2:8" ht="12.75">
      <c r="B222" s="437"/>
      <c r="C222" s="437"/>
      <c r="D222" s="437"/>
      <c r="E222" s="437"/>
      <c r="F222" s="437"/>
      <c r="G222" s="437"/>
      <c r="H222" s="437"/>
    </row>
    <row r="223" spans="2:8" ht="12.75">
      <c r="B223" s="437"/>
      <c r="C223" s="437"/>
      <c r="D223" s="437"/>
      <c r="E223" s="437"/>
      <c r="F223" s="437"/>
      <c r="G223" s="437"/>
      <c r="H223" s="437"/>
    </row>
    <row r="224" spans="2:8" ht="12.75">
      <c r="B224" s="437"/>
      <c r="C224" s="437"/>
      <c r="D224" s="437"/>
      <c r="E224" s="437"/>
      <c r="F224" s="437"/>
      <c r="G224" s="437"/>
      <c r="H224" s="437"/>
    </row>
    <row r="225" spans="2:8" ht="12.75">
      <c r="B225" s="437"/>
      <c r="C225" s="437"/>
      <c r="D225" s="437"/>
      <c r="E225" s="437"/>
      <c r="F225" s="437"/>
      <c r="G225" s="437"/>
      <c r="H225" s="437"/>
    </row>
    <row r="226" spans="2:8" ht="12.75">
      <c r="B226" s="437"/>
      <c r="C226" s="437"/>
      <c r="D226" s="437"/>
      <c r="E226" s="437"/>
      <c r="F226" s="437"/>
      <c r="G226" s="437"/>
      <c r="H226" s="437"/>
    </row>
    <row r="227" spans="2:8" ht="12.75">
      <c r="B227" s="437"/>
      <c r="C227" s="437"/>
      <c r="D227" s="437"/>
      <c r="E227" s="437"/>
      <c r="F227" s="437"/>
      <c r="G227" s="437"/>
      <c r="H227" s="437"/>
    </row>
    <row r="228" spans="2:8" ht="12.75">
      <c r="B228" s="437"/>
      <c r="C228" s="437"/>
      <c r="D228" s="437"/>
      <c r="E228" s="437"/>
      <c r="F228" s="437"/>
      <c r="G228" s="437"/>
      <c r="H228" s="437"/>
    </row>
    <row r="229" spans="2:8" ht="12.75">
      <c r="B229" s="437"/>
      <c r="C229" s="437"/>
      <c r="D229" s="437"/>
      <c r="E229" s="437"/>
      <c r="F229" s="437"/>
      <c r="G229" s="437"/>
      <c r="H229" s="437"/>
    </row>
    <row r="230" spans="2:8" ht="12.75">
      <c r="B230" s="437"/>
      <c r="C230" s="437"/>
      <c r="D230" s="437"/>
      <c r="E230" s="437"/>
      <c r="F230" s="437"/>
      <c r="G230" s="437"/>
      <c r="H230" s="437"/>
    </row>
    <row r="231" spans="2:8" ht="12.75">
      <c r="B231" s="437"/>
      <c r="C231" s="437"/>
      <c r="D231" s="437"/>
      <c r="E231" s="437"/>
      <c r="F231" s="437"/>
      <c r="G231" s="437"/>
      <c r="H231" s="437"/>
    </row>
    <row r="232" spans="2:8" ht="12.75">
      <c r="B232" s="437"/>
      <c r="C232" s="437"/>
      <c r="D232" s="437"/>
      <c r="E232" s="437"/>
      <c r="F232" s="437"/>
      <c r="G232" s="437"/>
      <c r="H232" s="437"/>
    </row>
    <row r="233" spans="2:8" ht="12.75">
      <c r="B233" s="437"/>
      <c r="C233" s="437"/>
      <c r="D233" s="437"/>
      <c r="E233" s="437"/>
      <c r="F233" s="437"/>
      <c r="G233" s="437"/>
      <c r="H233" s="437"/>
    </row>
    <row r="234" spans="2:8" ht="12.75">
      <c r="B234" s="437"/>
      <c r="C234" s="437"/>
      <c r="D234" s="437"/>
      <c r="E234" s="437"/>
      <c r="F234" s="437"/>
      <c r="G234" s="437"/>
      <c r="H234" s="437"/>
    </row>
    <row r="235" spans="2:8" ht="12.75">
      <c r="B235" s="437"/>
      <c r="C235" s="437"/>
      <c r="D235" s="437"/>
      <c r="E235" s="437"/>
      <c r="F235" s="437"/>
      <c r="G235" s="437"/>
      <c r="H235" s="437"/>
    </row>
    <row r="236" spans="2:8" ht="12.75">
      <c r="B236" s="437"/>
      <c r="C236" s="437"/>
      <c r="D236" s="437"/>
      <c r="E236" s="437"/>
      <c r="F236" s="437"/>
      <c r="G236" s="437"/>
      <c r="H236" s="437"/>
    </row>
    <row r="237" spans="2:8" ht="12.75">
      <c r="B237" s="437"/>
      <c r="C237" s="437"/>
      <c r="D237" s="437"/>
      <c r="E237" s="437"/>
      <c r="F237" s="437"/>
      <c r="G237" s="437"/>
      <c r="H237" s="437"/>
    </row>
    <row r="238" spans="2:8" ht="12.75">
      <c r="B238" s="437"/>
      <c r="C238" s="437"/>
      <c r="D238" s="437"/>
      <c r="E238" s="437"/>
      <c r="F238" s="437"/>
      <c r="G238" s="437"/>
      <c r="H238" s="437"/>
    </row>
    <row r="239" spans="2:8" ht="12.75">
      <c r="B239" s="437"/>
      <c r="C239" s="437"/>
      <c r="D239" s="437"/>
      <c r="E239" s="437"/>
      <c r="F239" s="437"/>
      <c r="G239" s="437"/>
      <c r="H239" s="437"/>
    </row>
    <row r="240" spans="2:8" ht="12.75">
      <c r="B240" s="437"/>
      <c r="C240" s="437"/>
      <c r="D240" s="437"/>
      <c r="E240" s="437"/>
      <c r="F240" s="437"/>
      <c r="G240" s="437"/>
      <c r="H240" s="437"/>
    </row>
    <row r="241" spans="2:8" ht="12.75">
      <c r="B241" s="437"/>
      <c r="C241" s="437"/>
      <c r="D241" s="437"/>
      <c r="E241" s="437"/>
      <c r="F241" s="437"/>
      <c r="G241" s="437"/>
      <c r="H241" s="437"/>
    </row>
    <row r="242" spans="2:8" ht="12.75">
      <c r="B242" s="437"/>
      <c r="C242" s="437"/>
      <c r="D242" s="437"/>
      <c r="E242" s="437"/>
      <c r="F242" s="437"/>
      <c r="G242" s="437"/>
      <c r="H242" s="437"/>
    </row>
    <row r="243" spans="2:8" ht="12.75">
      <c r="B243" s="437"/>
      <c r="C243" s="437"/>
      <c r="D243" s="437"/>
      <c r="E243" s="437"/>
      <c r="F243" s="437"/>
      <c r="G243" s="437"/>
      <c r="H243" s="437"/>
    </row>
    <row r="244" spans="2:8" ht="12.75">
      <c r="B244" s="437"/>
      <c r="C244" s="437"/>
      <c r="D244" s="437"/>
      <c r="E244" s="437"/>
      <c r="F244" s="437"/>
      <c r="G244" s="437"/>
      <c r="H244" s="437"/>
    </row>
    <row r="245" spans="2:8" ht="12.75">
      <c r="B245" s="437"/>
      <c r="C245" s="437"/>
      <c r="D245" s="437"/>
      <c r="E245" s="437"/>
      <c r="F245" s="437"/>
      <c r="G245" s="437"/>
      <c r="H245" s="437"/>
    </row>
    <row r="246" spans="2:8" ht="12.75">
      <c r="B246" s="437"/>
      <c r="C246" s="437"/>
      <c r="D246" s="437"/>
      <c r="E246" s="437"/>
      <c r="F246" s="437"/>
      <c r="G246" s="437"/>
      <c r="H246" s="437"/>
    </row>
    <row r="247" spans="2:8" ht="12.75">
      <c r="B247" s="437"/>
      <c r="C247" s="437"/>
      <c r="D247" s="437"/>
      <c r="E247" s="437"/>
      <c r="F247" s="437"/>
      <c r="G247" s="437"/>
      <c r="H247" s="437"/>
    </row>
    <row r="248" spans="2:8" ht="12.75">
      <c r="B248" s="437"/>
      <c r="C248" s="437"/>
      <c r="D248" s="437"/>
      <c r="E248" s="437"/>
      <c r="F248" s="437"/>
      <c r="G248" s="437"/>
      <c r="H248" s="437"/>
    </row>
    <row r="249" spans="2:8" ht="12.75">
      <c r="B249" s="437"/>
      <c r="C249" s="437"/>
      <c r="D249" s="437"/>
      <c r="E249" s="437"/>
      <c r="F249" s="437"/>
      <c r="G249" s="437"/>
      <c r="H249" s="437"/>
    </row>
    <row r="250" spans="2:8" ht="12.75">
      <c r="B250" s="437"/>
      <c r="C250" s="437"/>
      <c r="D250" s="437"/>
      <c r="E250" s="437"/>
      <c r="F250" s="437"/>
      <c r="G250" s="437"/>
      <c r="H250" s="437"/>
    </row>
    <row r="251" spans="2:8" ht="12.75">
      <c r="B251" s="437"/>
      <c r="C251" s="437"/>
      <c r="D251" s="437"/>
      <c r="E251" s="437"/>
      <c r="F251" s="437"/>
      <c r="G251" s="437"/>
      <c r="H251" s="437"/>
    </row>
    <row r="252" spans="2:8" ht="12.75">
      <c r="B252" s="437"/>
      <c r="C252" s="437"/>
      <c r="D252" s="437"/>
      <c r="E252" s="437"/>
      <c r="F252" s="437"/>
      <c r="G252" s="437"/>
      <c r="H252" s="437"/>
    </row>
    <row r="253" spans="2:8" ht="12.75">
      <c r="B253" s="437"/>
      <c r="C253" s="437"/>
      <c r="D253" s="437"/>
      <c r="E253" s="437"/>
      <c r="F253" s="437"/>
      <c r="G253" s="437"/>
      <c r="H253" s="437"/>
    </row>
    <row r="254" spans="2:8" ht="12.75">
      <c r="B254" s="437"/>
      <c r="C254" s="437"/>
      <c r="D254" s="437"/>
      <c r="E254" s="437"/>
      <c r="F254" s="437"/>
      <c r="G254" s="437"/>
      <c r="H254" s="437"/>
    </row>
    <row r="255" spans="2:8" ht="12.75">
      <c r="B255" s="437"/>
      <c r="C255" s="437"/>
      <c r="D255" s="437"/>
      <c r="E255" s="437"/>
      <c r="F255" s="437"/>
      <c r="G255" s="437"/>
      <c r="H255" s="437"/>
    </row>
    <row r="256" spans="2:8" ht="12.75">
      <c r="B256" s="437"/>
      <c r="C256" s="437"/>
      <c r="D256" s="437"/>
      <c r="E256" s="437"/>
      <c r="F256" s="437"/>
      <c r="G256" s="437"/>
      <c r="H256" s="437"/>
    </row>
    <row r="257" spans="2:8" ht="12.75">
      <c r="B257" s="437"/>
      <c r="C257" s="437"/>
      <c r="D257" s="437"/>
      <c r="E257" s="437"/>
      <c r="F257" s="437"/>
      <c r="G257" s="437"/>
      <c r="H257" s="437"/>
    </row>
    <row r="258" spans="2:8" ht="12.75">
      <c r="B258" s="437"/>
      <c r="C258" s="437"/>
      <c r="D258" s="437"/>
      <c r="E258" s="437"/>
      <c r="F258" s="437"/>
      <c r="G258" s="437"/>
      <c r="H258" s="437"/>
    </row>
    <row r="259" spans="2:8" ht="12.75">
      <c r="B259" s="437"/>
      <c r="C259" s="437"/>
      <c r="D259" s="437"/>
      <c r="E259" s="437"/>
      <c r="F259" s="437"/>
      <c r="G259" s="437"/>
      <c r="H259" s="437"/>
    </row>
    <row r="260" spans="2:8" ht="12.75">
      <c r="B260" s="437"/>
      <c r="C260" s="437"/>
      <c r="D260" s="437"/>
      <c r="E260" s="437"/>
      <c r="F260" s="437"/>
      <c r="G260" s="437"/>
      <c r="H260" s="437"/>
    </row>
    <row r="261" spans="2:8" ht="12.75">
      <c r="B261" s="437"/>
      <c r="C261" s="437"/>
      <c r="D261" s="437"/>
      <c r="E261" s="437"/>
      <c r="F261" s="437"/>
      <c r="G261" s="437"/>
      <c r="H261" s="437"/>
    </row>
    <row r="262" spans="2:8" ht="12.75">
      <c r="B262" s="437"/>
      <c r="C262" s="437"/>
      <c r="D262" s="437"/>
      <c r="E262" s="437"/>
      <c r="F262" s="437"/>
      <c r="G262" s="437"/>
      <c r="H262" s="437"/>
    </row>
    <row r="263" spans="2:8" ht="12.75">
      <c r="B263" s="437"/>
      <c r="C263" s="437"/>
      <c r="D263" s="437"/>
      <c r="E263" s="437"/>
      <c r="F263" s="437"/>
      <c r="G263" s="437"/>
      <c r="H263" s="437"/>
    </row>
    <row r="264" spans="2:8" ht="12.75">
      <c r="B264" s="437"/>
      <c r="C264" s="437"/>
      <c r="D264" s="437"/>
      <c r="E264" s="437"/>
      <c r="F264" s="437"/>
      <c r="G264" s="437"/>
      <c r="H264" s="437"/>
    </row>
    <row r="265" spans="2:8" ht="12.75">
      <c r="B265" s="437"/>
      <c r="C265" s="437"/>
      <c r="D265" s="437"/>
      <c r="E265" s="437"/>
      <c r="F265" s="437"/>
      <c r="G265" s="437"/>
      <c r="H265" s="437"/>
    </row>
    <row r="266" spans="2:8" ht="12.75">
      <c r="B266" s="437"/>
      <c r="C266" s="437"/>
      <c r="D266" s="437"/>
      <c r="E266" s="437"/>
      <c r="F266" s="437"/>
      <c r="G266" s="437"/>
      <c r="H266" s="437"/>
    </row>
    <row r="267" spans="2:8" ht="12.75">
      <c r="B267" s="437"/>
      <c r="C267" s="437"/>
      <c r="D267" s="437"/>
      <c r="E267" s="437"/>
      <c r="F267" s="437"/>
      <c r="G267" s="437"/>
      <c r="H267" s="437"/>
    </row>
    <row r="268" spans="2:8" ht="12.75">
      <c r="B268" s="437"/>
      <c r="C268" s="437"/>
      <c r="D268" s="437"/>
      <c r="E268" s="437"/>
      <c r="F268" s="437"/>
      <c r="G268" s="437"/>
      <c r="H268" s="437"/>
    </row>
    <row r="269" spans="2:8" ht="12.75">
      <c r="B269" s="437"/>
      <c r="C269" s="437"/>
      <c r="D269" s="437"/>
      <c r="E269" s="437"/>
      <c r="F269" s="437"/>
      <c r="G269" s="437"/>
      <c r="H269" s="437"/>
    </row>
    <row r="270" spans="2:8" ht="12.75">
      <c r="B270" s="437"/>
      <c r="C270" s="437"/>
      <c r="D270" s="437"/>
      <c r="E270" s="437"/>
      <c r="F270" s="437"/>
      <c r="G270" s="437"/>
      <c r="H270" s="437"/>
    </row>
    <row r="271" spans="2:8" ht="12.75">
      <c r="B271" s="437"/>
      <c r="C271" s="437"/>
      <c r="D271" s="437"/>
      <c r="E271" s="437"/>
      <c r="F271" s="437"/>
      <c r="G271" s="437"/>
      <c r="H271" s="437"/>
    </row>
    <row r="272" spans="2:8" ht="12.75">
      <c r="B272" s="437"/>
      <c r="C272" s="437"/>
      <c r="D272" s="437"/>
      <c r="E272" s="437"/>
      <c r="F272" s="437"/>
      <c r="G272" s="437"/>
      <c r="H272" s="437"/>
    </row>
    <row r="273" spans="2:8" ht="12.75">
      <c r="B273" s="437"/>
      <c r="C273" s="437"/>
      <c r="D273" s="437"/>
      <c r="E273" s="437"/>
      <c r="F273" s="437"/>
      <c r="G273" s="437"/>
      <c r="H273" s="437"/>
    </row>
    <row r="274" spans="2:8" ht="12.75">
      <c r="B274" s="437"/>
      <c r="C274" s="437"/>
      <c r="D274" s="437"/>
      <c r="E274" s="437"/>
      <c r="F274" s="437"/>
      <c r="G274" s="437"/>
      <c r="H274" s="437"/>
    </row>
    <row r="275" spans="2:8" ht="12.75">
      <c r="B275" s="437"/>
      <c r="C275" s="437"/>
      <c r="D275" s="437"/>
      <c r="E275" s="437"/>
      <c r="F275" s="437"/>
      <c r="G275" s="437"/>
      <c r="H275" s="437"/>
    </row>
    <row r="276" spans="2:8" ht="12.75">
      <c r="B276" s="437"/>
      <c r="C276" s="437"/>
      <c r="D276" s="437"/>
      <c r="E276" s="437"/>
      <c r="F276" s="437"/>
      <c r="G276" s="437"/>
      <c r="H276" s="437"/>
    </row>
    <row r="277" spans="2:8" ht="12.75">
      <c r="B277" s="437"/>
      <c r="C277" s="437"/>
      <c r="D277" s="437"/>
      <c r="E277" s="437"/>
      <c r="F277" s="437"/>
      <c r="G277" s="437"/>
      <c r="H277" s="437"/>
    </row>
    <row r="278" spans="2:8" ht="12.75">
      <c r="B278" s="437"/>
      <c r="C278" s="437"/>
      <c r="D278" s="437"/>
      <c r="E278" s="437"/>
      <c r="F278" s="437"/>
      <c r="G278" s="437"/>
      <c r="H278" s="437"/>
    </row>
    <row r="279" spans="2:8" ht="12.75">
      <c r="B279" s="437"/>
      <c r="C279" s="437"/>
      <c r="D279" s="437"/>
      <c r="E279" s="437"/>
      <c r="F279" s="437"/>
      <c r="G279" s="437"/>
      <c r="H279" s="437"/>
    </row>
    <row r="280" spans="2:8" ht="12.75">
      <c r="B280" s="437"/>
      <c r="C280" s="437"/>
      <c r="D280" s="437"/>
      <c r="E280" s="437"/>
      <c r="F280" s="437"/>
      <c r="G280" s="437"/>
      <c r="H280" s="437"/>
    </row>
    <row r="281" spans="2:8" ht="12.75">
      <c r="B281" s="437"/>
      <c r="C281" s="437"/>
      <c r="D281" s="437"/>
      <c r="E281" s="437"/>
      <c r="F281" s="437"/>
      <c r="G281" s="437"/>
      <c r="H281" s="437"/>
    </row>
    <row r="282" spans="2:8" ht="12.75">
      <c r="B282" s="437"/>
      <c r="C282" s="437"/>
      <c r="D282" s="437"/>
      <c r="E282" s="437"/>
      <c r="F282" s="437"/>
      <c r="G282" s="437"/>
      <c r="H282" s="437"/>
    </row>
    <row r="283" spans="2:8" ht="12.75">
      <c r="B283" s="437"/>
      <c r="C283" s="437"/>
      <c r="D283" s="437"/>
      <c r="E283" s="437"/>
      <c r="F283" s="437"/>
      <c r="G283" s="437"/>
      <c r="H283" s="437"/>
    </row>
    <row r="284" spans="2:8" ht="12.75">
      <c r="B284" s="437"/>
      <c r="C284" s="437"/>
      <c r="D284" s="437"/>
      <c r="E284" s="437"/>
      <c r="F284" s="437"/>
      <c r="G284" s="437"/>
      <c r="H284" s="437"/>
    </row>
    <row r="285" spans="2:8" ht="12.75">
      <c r="B285" s="437"/>
      <c r="C285" s="437"/>
      <c r="D285" s="437"/>
      <c r="E285" s="437"/>
      <c r="F285" s="437"/>
      <c r="G285" s="437"/>
      <c r="H285" s="437"/>
    </row>
    <row r="286" spans="2:8" ht="12.75">
      <c r="B286" s="437"/>
      <c r="C286" s="437"/>
      <c r="D286" s="437"/>
      <c r="E286" s="437"/>
      <c r="F286" s="437"/>
      <c r="G286" s="437"/>
      <c r="H286" s="437"/>
    </row>
    <row r="287" spans="2:8" ht="12.75">
      <c r="B287" s="437"/>
      <c r="C287" s="437"/>
      <c r="D287" s="437"/>
      <c r="E287" s="437"/>
      <c r="F287" s="437"/>
      <c r="G287" s="437"/>
      <c r="H287" s="437"/>
    </row>
    <row r="288" spans="2:8" ht="12.75">
      <c r="B288" s="437"/>
      <c r="C288" s="437"/>
      <c r="D288" s="437"/>
      <c r="E288" s="437"/>
      <c r="F288" s="437"/>
      <c r="G288" s="437"/>
      <c r="H288" s="437"/>
    </row>
    <row r="289" spans="2:8" ht="12.75">
      <c r="B289" s="437"/>
      <c r="C289" s="437"/>
      <c r="D289" s="437"/>
      <c r="E289" s="437"/>
      <c r="F289" s="437"/>
      <c r="G289" s="437"/>
      <c r="H289" s="437"/>
    </row>
    <row r="290" spans="2:8" ht="12.75">
      <c r="B290" s="437"/>
      <c r="C290" s="437"/>
      <c r="D290" s="437"/>
      <c r="E290" s="437"/>
      <c r="F290" s="437"/>
      <c r="G290" s="437"/>
      <c r="H290" s="437"/>
    </row>
    <row r="291" spans="2:8" ht="12.75">
      <c r="B291" s="437"/>
      <c r="C291" s="437"/>
      <c r="D291" s="437"/>
      <c r="E291" s="437"/>
      <c r="F291" s="437"/>
      <c r="G291" s="437"/>
      <c r="H291" s="437"/>
    </row>
    <row r="292" spans="2:8" ht="12.75">
      <c r="B292" s="437"/>
      <c r="C292" s="437"/>
      <c r="D292" s="437"/>
      <c r="E292" s="437"/>
      <c r="F292" s="437"/>
      <c r="G292" s="437"/>
      <c r="H292" s="437"/>
    </row>
    <row r="293" spans="2:8" ht="12.75">
      <c r="B293" s="437"/>
      <c r="C293" s="437"/>
      <c r="D293" s="437"/>
      <c r="E293" s="437"/>
      <c r="F293" s="437"/>
      <c r="G293" s="437"/>
      <c r="H293" s="437"/>
    </row>
    <row r="294" spans="2:8" ht="12.75">
      <c r="B294" s="437"/>
      <c r="C294" s="437"/>
      <c r="D294" s="437"/>
      <c r="E294" s="437"/>
      <c r="F294" s="437"/>
      <c r="G294" s="437"/>
      <c r="H294" s="437"/>
    </row>
    <row r="295" spans="2:8" ht="12.75">
      <c r="B295" s="437"/>
      <c r="C295" s="437"/>
      <c r="D295" s="437"/>
      <c r="E295" s="437"/>
      <c r="F295" s="437"/>
      <c r="G295" s="437"/>
      <c r="H295" s="437"/>
    </row>
    <row r="296" spans="2:8" ht="12.75">
      <c r="B296" s="437"/>
      <c r="C296" s="437"/>
      <c r="D296" s="437"/>
      <c r="E296" s="437"/>
      <c r="F296" s="437"/>
      <c r="G296" s="437"/>
      <c r="H296" s="437"/>
    </row>
    <row r="297" spans="2:8" ht="12.75">
      <c r="B297" s="437"/>
      <c r="C297" s="437"/>
      <c r="D297" s="437"/>
      <c r="E297" s="437"/>
      <c r="F297" s="437"/>
      <c r="G297" s="437"/>
      <c r="H297" s="437"/>
    </row>
    <row r="298" spans="2:8" ht="12.75">
      <c r="B298" s="437"/>
      <c r="C298" s="437"/>
      <c r="D298" s="437"/>
      <c r="E298" s="437"/>
      <c r="F298" s="437"/>
      <c r="G298" s="437"/>
      <c r="H298" s="437"/>
    </row>
    <row r="299" spans="2:8" ht="12.75">
      <c r="B299" s="437"/>
      <c r="C299" s="437"/>
      <c r="D299" s="437"/>
      <c r="E299" s="437"/>
      <c r="F299" s="437"/>
      <c r="G299" s="437"/>
      <c r="H299" s="437"/>
    </row>
    <row r="300" spans="2:8" ht="12.75">
      <c r="B300" s="437"/>
      <c r="C300" s="437"/>
      <c r="D300" s="437"/>
      <c r="E300" s="437"/>
      <c r="F300" s="437"/>
      <c r="G300" s="437"/>
      <c r="H300" s="437"/>
    </row>
    <row r="301" spans="2:8" ht="12.75">
      <c r="B301" s="437"/>
      <c r="C301" s="437"/>
      <c r="D301" s="437"/>
      <c r="E301" s="437"/>
      <c r="F301" s="437"/>
      <c r="G301" s="437"/>
      <c r="H301" s="437"/>
    </row>
    <row r="302" spans="2:8" ht="12.75">
      <c r="B302" s="437"/>
      <c r="C302" s="437"/>
      <c r="D302" s="437"/>
      <c r="E302" s="437"/>
      <c r="F302" s="437"/>
      <c r="G302" s="437"/>
      <c r="H302" s="437"/>
    </row>
    <row r="303" spans="2:8" ht="12.75">
      <c r="B303" s="437"/>
      <c r="C303" s="437"/>
      <c r="D303" s="437"/>
      <c r="E303" s="437"/>
      <c r="F303" s="437"/>
      <c r="G303" s="437"/>
      <c r="H303" s="437"/>
    </row>
    <row r="304" spans="2:8" ht="12.75">
      <c r="B304" s="437"/>
      <c r="C304" s="437"/>
      <c r="D304" s="437"/>
      <c r="E304" s="437"/>
      <c r="F304" s="437"/>
      <c r="G304" s="437"/>
      <c r="H304" s="437"/>
    </row>
    <row r="305" spans="2:8" ht="12.75">
      <c r="B305" s="437"/>
      <c r="C305" s="437"/>
      <c r="D305" s="437"/>
      <c r="E305" s="437"/>
      <c r="F305" s="437"/>
      <c r="G305" s="437"/>
      <c r="H305" s="437"/>
    </row>
    <row r="306" spans="2:8" ht="12.75">
      <c r="B306" s="437"/>
      <c r="C306" s="437"/>
      <c r="D306" s="437"/>
      <c r="E306" s="437"/>
      <c r="F306" s="437"/>
      <c r="G306" s="437"/>
      <c r="H306" s="437"/>
    </row>
    <row r="307" spans="2:8" ht="12.75">
      <c r="B307" s="437"/>
      <c r="C307" s="437"/>
      <c r="D307" s="437"/>
      <c r="E307" s="437"/>
      <c r="F307" s="437"/>
      <c r="G307" s="437"/>
      <c r="H307" s="437"/>
    </row>
    <row r="308" spans="2:8" ht="12.75">
      <c r="B308" s="437"/>
      <c r="C308" s="437"/>
      <c r="D308" s="437"/>
      <c r="E308" s="437"/>
      <c r="F308" s="437"/>
      <c r="G308" s="437"/>
      <c r="H308" s="437"/>
    </row>
    <row r="309" spans="2:8" ht="12.75">
      <c r="B309" s="437"/>
      <c r="C309" s="437"/>
      <c r="D309" s="437"/>
      <c r="E309" s="437"/>
      <c r="F309" s="437"/>
      <c r="G309" s="437"/>
      <c r="H309" s="437"/>
    </row>
    <row r="310" spans="2:8" ht="12.75">
      <c r="B310" s="437"/>
      <c r="C310" s="437"/>
      <c r="D310" s="437"/>
      <c r="E310" s="437"/>
      <c r="F310" s="437"/>
      <c r="G310" s="437"/>
      <c r="H310" s="437"/>
    </row>
    <row r="311" spans="2:8" ht="12.75">
      <c r="B311" s="437"/>
      <c r="C311" s="437"/>
      <c r="D311" s="437"/>
      <c r="E311" s="437"/>
      <c r="F311" s="437"/>
      <c r="G311" s="437"/>
      <c r="H311" s="437"/>
    </row>
    <row r="312" spans="2:8" ht="12.75">
      <c r="B312" s="437"/>
      <c r="C312" s="437"/>
      <c r="D312" s="437"/>
      <c r="E312" s="437"/>
      <c r="F312" s="437"/>
      <c r="G312" s="437"/>
      <c r="H312" s="437"/>
    </row>
    <row r="313" spans="2:8" ht="12.75">
      <c r="B313" s="437"/>
      <c r="C313" s="437"/>
      <c r="D313" s="437"/>
      <c r="E313" s="437"/>
      <c r="F313" s="437"/>
      <c r="G313" s="437"/>
      <c r="H313" s="437"/>
    </row>
    <row r="314" spans="2:8" ht="12.75">
      <c r="B314" s="437"/>
      <c r="C314" s="437"/>
      <c r="D314" s="437"/>
      <c r="E314" s="437"/>
      <c r="F314" s="437"/>
      <c r="G314" s="437"/>
      <c r="H314" s="437"/>
    </row>
    <row r="315" spans="2:8" ht="12.75">
      <c r="B315" s="437"/>
      <c r="C315" s="437"/>
      <c r="D315" s="437"/>
      <c r="E315" s="437"/>
      <c r="F315" s="437"/>
      <c r="G315" s="437"/>
      <c r="H315" s="437"/>
    </row>
    <row r="316" spans="2:8" ht="12.75">
      <c r="B316" s="437"/>
      <c r="C316" s="437"/>
      <c r="D316" s="437"/>
      <c r="E316" s="437"/>
      <c r="F316" s="437"/>
      <c r="G316" s="437"/>
      <c r="H316" s="437"/>
    </row>
    <row r="317" spans="2:8" ht="12.75">
      <c r="B317" s="437"/>
      <c r="C317" s="437"/>
      <c r="D317" s="437"/>
      <c r="E317" s="437"/>
      <c r="F317" s="437"/>
      <c r="G317" s="437"/>
      <c r="H317" s="437"/>
    </row>
    <row r="318" spans="2:8" ht="12.75">
      <c r="B318" s="437"/>
      <c r="C318" s="437"/>
      <c r="D318" s="437"/>
      <c r="E318" s="437"/>
      <c r="F318" s="437"/>
      <c r="G318" s="437"/>
      <c r="H318" s="437"/>
    </row>
    <row r="319" spans="2:8" ht="12.75">
      <c r="B319" s="437"/>
      <c r="C319" s="437"/>
      <c r="D319" s="437"/>
      <c r="E319" s="437"/>
      <c r="F319" s="437"/>
      <c r="G319" s="437"/>
      <c r="H319" s="437"/>
    </row>
    <row r="320" spans="2:8" ht="12.75">
      <c r="B320" s="437"/>
      <c r="C320" s="437"/>
      <c r="D320" s="437"/>
      <c r="E320" s="437"/>
      <c r="F320" s="437"/>
      <c r="G320" s="437"/>
      <c r="H320" s="437"/>
    </row>
    <row r="321" spans="2:8" ht="12.75">
      <c r="B321" s="437"/>
      <c r="C321" s="437"/>
      <c r="D321" s="437"/>
      <c r="E321" s="437"/>
      <c r="F321" s="437"/>
      <c r="G321" s="437"/>
      <c r="H321" s="437"/>
    </row>
    <row r="322" spans="2:8" ht="12.75">
      <c r="B322" s="437"/>
      <c r="C322" s="437"/>
      <c r="D322" s="437"/>
      <c r="E322" s="437"/>
      <c r="F322" s="437"/>
      <c r="G322" s="437"/>
      <c r="H322" s="437"/>
    </row>
    <row r="323" spans="2:8" ht="12.75">
      <c r="B323" s="437"/>
      <c r="C323" s="437"/>
      <c r="D323" s="437"/>
      <c r="E323" s="437"/>
      <c r="F323" s="437"/>
      <c r="G323" s="437"/>
      <c r="H323" s="437"/>
    </row>
    <row r="324" spans="2:8" ht="12.75">
      <c r="B324" s="437"/>
      <c r="C324" s="437"/>
      <c r="D324" s="437"/>
      <c r="E324" s="437"/>
      <c r="F324" s="437"/>
      <c r="G324" s="437"/>
      <c r="H324" s="437"/>
    </row>
    <row r="325" spans="2:8" ht="12.75">
      <c r="B325" s="437"/>
      <c r="C325" s="437"/>
      <c r="D325" s="437"/>
      <c r="E325" s="437"/>
      <c r="F325" s="437"/>
      <c r="G325" s="437"/>
      <c r="H325" s="437"/>
    </row>
    <row r="326" spans="2:8" ht="12.75">
      <c r="B326" s="437"/>
      <c r="C326" s="437"/>
      <c r="D326" s="437"/>
      <c r="E326" s="437"/>
      <c r="F326" s="437"/>
      <c r="G326" s="437"/>
      <c r="H326" s="437"/>
    </row>
    <row r="327" spans="2:8" ht="12.75">
      <c r="B327" s="437"/>
      <c r="C327" s="437"/>
      <c r="D327" s="437"/>
      <c r="E327" s="437"/>
      <c r="F327" s="437"/>
      <c r="G327" s="437"/>
      <c r="H327" s="437"/>
    </row>
    <row r="328" spans="2:8" ht="12.75">
      <c r="B328" s="437"/>
      <c r="C328" s="437"/>
      <c r="D328" s="437"/>
      <c r="E328" s="437"/>
      <c r="F328" s="437"/>
      <c r="G328" s="437"/>
      <c r="H328" s="437"/>
    </row>
    <row r="329" spans="2:8" ht="12.75">
      <c r="B329" s="437"/>
      <c r="C329" s="437"/>
      <c r="D329" s="437"/>
      <c r="E329" s="437"/>
      <c r="F329" s="437"/>
      <c r="G329" s="437"/>
      <c r="H329" s="437"/>
    </row>
    <row r="330" spans="2:8" ht="12.75">
      <c r="B330" s="437"/>
      <c r="C330" s="437"/>
      <c r="D330" s="437"/>
      <c r="E330" s="437"/>
      <c r="F330" s="437"/>
      <c r="G330" s="437"/>
      <c r="H330" s="437"/>
    </row>
    <row r="331" spans="2:8" ht="12.75">
      <c r="B331" s="437"/>
      <c r="C331" s="437"/>
      <c r="D331" s="437"/>
      <c r="E331" s="437"/>
      <c r="F331" s="437"/>
      <c r="G331" s="437"/>
      <c r="H331" s="437"/>
    </row>
    <row r="332" spans="2:8" ht="12.75">
      <c r="B332" s="437"/>
      <c r="C332" s="437"/>
      <c r="D332" s="437"/>
      <c r="E332" s="437"/>
      <c r="F332" s="437"/>
      <c r="G332" s="437"/>
      <c r="H332" s="437"/>
    </row>
    <row r="333" spans="2:8" ht="12.75">
      <c r="B333" s="437"/>
      <c r="C333" s="437"/>
      <c r="D333" s="437"/>
      <c r="E333" s="437"/>
      <c r="F333" s="437"/>
      <c r="G333" s="437"/>
      <c r="H333" s="437"/>
    </row>
    <row r="334" spans="2:8" ht="12.75">
      <c r="B334" s="437"/>
      <c r="C334" s="437"/>
      <c r="D334" s="437"/>
      <c r="E334" s="437"/>
      <c r="F334" s="437"/>
      <c r="G334" s="437"/>
      <c r="H334" s="437"/>
    </row>
    <row r="335" spans="2:8" ht="12.75">
      <c r="B335" s="437"/>
      <c r="C335" s="437"/>
      <c r="D335" s="437"/>
      <c r="E335" s="437"/>
      <c r="F335" s="437"/>
      <c r="G335" s="437"/>
      <c r="H335" s="437"/>
    </row>
    <row r="336" spans="2:8" ht="12.75">
      <c r="B336" s="437"/>
      <c r="C336" s="437"/>
      <c r="D336" s="437"/>
      <c r="E336" s="437"/>
      <c r="F336" s="437"/>
      <c r="G336" s="437"/>
      <c r="H336" s="437"/>
    </row>
    <row r="337" spans="2:8" ht="12.75">
      <c r="B337" s="437"/>
      <c r="C337" s="437"/>
      <c r="D337" s="437"/>
      <c r="E337" s="437"/>
      <c r="F337" s="437"/>
      <c r="G337" s="437"/>
      <c r="H337" s="437"/>
    </row>
    <row r="338" spans="2:8" ht="12.75">
      <c r="B338" s="437"/>
      <c r="C338" s="437"/>
      <c r="D338" s="437"/>
      <c r="E338" s="437"/>
      <c r="F338" s="437"/>
      <c r="G338" s="437"/>
      <c r="H338" s="437"/>
    </row>
    <row r="339" spans="2:8" ht="12.75">
      <c r="B339" s="437"/>
      <c r="C339" s="437"/>
      <c r="D339" s="437"/>
      <c r="E339" s="437"/>
      <c r="F339" s="437"/>
      <c r="G339" s="437"/>
      <c r="H339" s="437"/>
    </row>
    <row r="340" spans="2:8" ht="12.75">
      <c r="B340" s="437"/>
      <c r="C340" s="437"/>
      <c r="D340" s="437"/>
      <c r="E340" s="437"/>
      <c r="F340" s="437"/>
      <c r="G340" s="437"/>
      <c r="H340" s="437"/>
    </row>
    <row r="341" spans="2:8" ht="12.75">
      <c r="B341" s="437"/>
      <c r="C341" s="437"/>
      <c r="D341" s="437"/>
      <c r="E341" s="437"/>
      <c r="F341" s="437"/>
      <c r="G341" s="437"/>
      <c r="H341" s="437"/>
    </row>
    <row r="342" spans="2:8" ht="12.75">
      <c r="B342" s="437"/>
      <c r="C342" s="437"/>
      <c r="D342" s="437"/>
      <c r="E342" s="437"/>
      <c r="F342" s="437"/>
      <c r="G342" s="437"/>
      <c r="H342" s="437"/>
    </row>
    <row r="343" spans="2:8" ht="12.75">
      <c r="B343" s="437"/>
      <c r="C343" s="437"/>
      <c r="D343" s="437"/>
      <c r="E343" s="437"/>
      <c r="F343" s="437"/>
      <c r="G343" s="437"/>
      <c r="H343" s="437"/>
    </row>
    <row r="344" spans="2:8" ht="12.75">
      <c r="B344" s="437"/>
      <c r="C344" s="437"/>
      <c r="D344" s="437"/>
      <c r="E344" s="437"/>
      <c r="F344" s="437"/>
      <c r="G344" s="437"/>
      <c r="H344" s="437"/>
    </row>
    <row r="345" spans="2:8" ht="12.75">
      <c r="B345" s="437"/>
      <c r="C345" s="437"/>
      <c r="D345" s="437"/>
      <c r="E345" s="437"/>
      <c r="F345" s="437"/>
      <c r="G345" s="437"/>
      <c r="H345" s="437"/>
    </row>
    <row r="346" spans="2:8" ht="12.75">
      <c r="B346" s="437"/>
      <c r="C346" s="437"/>
      <c r="D346" s="437"/>
      <c r="E346" s="437"/>
      <c r="F346" s="437"/>
      <c r="G346" s="437"/>
      <c r="H346" s="437"/>
    </row>
    <row r="347" spans="2:8" ht="12.75">
      <c r="B347" s="437"/>
      <c r="C347" s="437"/>
      <c r="D347" s="437"/>
      <c r="E347" s="437"/>
      <c r="F347" s="437"/>
      <c r="G347" s="437"/>
      <c r="H347" s="437"/>
    </row>
    <row r="348" spans="2:8" ht="12.75">
      <c r="B348" s="437"/>
      <c r="C348" s="437"/>
      <c r="D348" s="437"/>
      <c r="E348" s="437"/>
      <c r="F348" s="437"/>
      <c r="G348" s="437"/>
      <c r="H348" s="437"/>
    </row>
    <row r="349" spans="2:8" ht="12.75">
      <c r="B349" s="437"/>
      <c r="C349" s="437"/>
      <c r="D349" s="437"/>
      <c r="E349" s="437"/>
      <c r="F349" s="437"/>
      <c r="G349" s="437"/>
      <c r="H349" s="437"/>
    </row>
    <row r="350" spans="2:8" ht="12.75">
      <c r="B350" s="437"/>
      <c r="C350" s="437"/>
      <c r="D350" s="437"/>
      <c r="E350" s="437"/>
      <c r="F350" s="437"/>
      <c r="G350" s="437"/>
      <c r="H350" s="437"/>
    </row>
    <row r="351" spans="2:8" ht="12.75">
      <c r="B351" s="437"/>
      <c r="C351" s="437"/>
      <c r="D351" s="437"/>
      <c r="E351" s="437"/>
      <c r="F351" s="437"/>
      <c r="G351" s="437"/>
      <c r="H351" s="437"/>
    </row>
    <row r="352" spans="2:8" ht="12.75">
      <c r="B352" s="437"/>
      <c r="C352" s="437"/>
      <c r="D352" s="437"/>
      <c r="E352" s="437"/>
      <c r="F352" s="437"/>
      <c r="G352" s="437"/>
      <c r="H352" s="437"/>
    </row>
    <row r="353" spans="2:8" ht="12.75">
      <c r="B353" s="437"/>
      <c r="C353" s="437"/>
      <c r="D353" s="437"/>
      <c r="E353" s="437"/>
      <c r="F353" s="437"/>
      <c r="G353" s="437"/>
      <c r="H353" s="437"/>
    </row>
    <row r="354" spans="2:8" ht="12.75">
      <c r="B354" s="437"/>
      <c r="C354" s="437"/>
      <c r="D354" s="437"/>
      <c r="E354" s="437"/>
      <c r="F354" s="437"/>
      <c r="G354" s="437"/>
      <c r="H354" s="437"/>
    </row>
    <row r="355" spans="2:8" ht="12.75">
      <c r="B355" s="437"/>
      <c r="C355" s="437"/>
      <c r="D355" s="437"/>
      <c r="E355" s="437"/>
      <c r="F355" s="437"/>
      <c r="G355" s="437"/>
      <c r="H355" s="437"/>
    </row>
    <row r="356" spans="2:8" ht="12.75">
      <c r="B356" s="437"/>
      <c r="C356" s="437"/>
      <c r="D356" s="437"/>
      <c r="E356" s="437"/>
      <c r="F356" s="437"/>
      <c r="G356" s="437"/>
      <c r="H356" s="437"/>
    </row>
    <row r="357" spans="2:8" ht="12.75">
      <c r="B357" s="437"/>
      <c r="C357" s="437"/>
      <c r="D357" s="437"/>
      <c r="E357" s="437"/>
      <c r="F357" s="437"/>
      <c r="G357" s="437"/>
      <c r="H357" s="437"/>
    </row>
    <row r="358" spans="2:8" ht="12.75">
      <c r="B358" s="437"/>
      <c r="C358" s="437"/>
      <c r="D358" s="437"/>
      <c r="E358" s="437"/>
      <c r="F358" s="437"/>
      <c r="G358" s="437"/>
      <c r="H358" s="437"/>
    </row>
    <row r="359" spans="2:8" ht="12.75">
      <c r="B359" s="437"/>
      <c r="C359" s="437"/>
      <c r="D359" s="437"/>
      <c r="E359" s="437"/>
      <c r="F359" s="437"/>
      <c r="G359" s="437"/>
      <c r="H359" s="437"/>
    </row>
    <row r="360" spans="2:8" ht="12.75">
      <c r="B360" s="437"/>
      <c r="C360" s="437"/>
      <c r="D360" s="437"/>
      <c r="E360" s="437"/>
      <c r="F360" s="437"/>
      <c r="G360" s="437"/>
      <c r="H360" s="437"/>
    </row>
    <row r="361" spans="2:8" ht="12.75">
      <c r="B361" s="437"/>
      <c r="C361" s="437"/>
      <c r="D361" s="437"/>
      <c r="E361" s="437"/>
      <c r="F361" s="437"/>
      <c r="G361" s="437"/>
      <c r="H361" s="437"/>
    </row>
    <row r="362" spans="2:8" ht="12.75">
      <c r="B362" s="437"/>
      <c r="C362" s="437"/>
      <c r="D362" s="437"/>
      <c r="E362" s="437"/>
      <c r="F362" s="437"/>
      <c r="G362" s="437"/>
      <c r="H362" s="437"/>
    </row>
    <row r="363" spans="2:8" ht="12.75">
      <c r="B363" s="437"/>
      <c r="C363" s="437"/>
      <c r="D363" s="437"/>
      <c r="E363" s="437"/>
      <c r="F363" s="437"/>
      <c r="G363" s="437"/>
      <c r="H363" s="437"/>
    </row>
    <row r="364" spans="2:8" ht="12.75">
      <c r="B364" s="437"/>
      <c r="C364" s="437"/>
      <c r="D364" s="437"/>
      <c r="E364" s="437"/>
      <c r="F364" s="437"/>
      <c r="G364" s="437"/>
      <c r="H364" s="437"/>
    </row>
    <row r="365" spans="2:8" ht="12.75">
      <c r="B365" s="437"/>
      <c r="C365" s="437"/>
      <c r="D365" s="437"/>
      <c r="E365" s="437"/>
      <c r="F365" s="437"/>
      <c r="G365" s="437"/>
      <c r="H365" s="437"/>
    </row>
    <row r="366" spans="2:8" ht="12.75">
      <c r="B366" s="437"/>
      <c r="C366" s="437"/>
      <c r="D366" s="437"/>
      <c r="E366" s="437"/>
      <c r="F366" s="437"/>
      <c r="G366" s="437"/>
      <c r="H366" s="437"/>
    </row>
    <row r="367" spans="2:8" ht="12.75">
      <c r="B367" s="437"/>
      <c r="C367" s="437"/>
      <c r="D367" s="437"/>
      <c r="E367" s="437"/>
      <c r="F367" s="437"/>
      <c r="G367" s="437"/>
      <c r="H367" s="437"/>
    </row>
    <row r="368" spans="2:8" ht="12.75">
      <c r="B368" s="437"/>
      <c r="C368" s="437"/>
      <c r="D368" s="437"/>
      <c r="E368" s="437"/>
      <c r="F368" s="437"/>
      <c r="G368" s="437"/>
      <c r="H368" s="437"/>
    </row>
    <row r="369" spans="2:8" ht="12.75">
      <c r="B369" s="437"/>
      <c r="C369" s="437"/>
      <c r="D369" s="437"/>
      <c r="E369" s="437"/>
      <c r="F369" s="437"/>
      <c r="G369" s="437"/>
      <c r="H369" s="437"/>
    </row>
    <row r="370" spans="2:8" ht="12.75">
      <c r="B370" s="437"/>
      <c r="C370" s="437"/>
      <c r="D370" s="437"/>
      <c r="E370" s="437"/>
      <c r="F370" s="437"/>
      <c r="G370" s="437"/>
      <c r="H370" s="437"/>
    </row>
    <row r="371" spans="2:8" ht="12.75">
      <c r="B371" s="437"/>
      <c r="C371" s="437"/>
      <c r="D371" s="437"/>
      <c r="E371" s="437"/>
      <c r="F371" s="437"/>
      <c r="G371" s="437"/>
      <c r="H371" s="437"/>
    </row>
    <row r="372" spans="2:8" ht="12.75">
      <c r="B372" s="437"/>
      <c r="C372" s="437"/>
      <c r="D372" s="437"/>
      <c r="E372" s="437"/>
      <c r="F372" s="437"/>
      <c r="G372" s="437"/>
      <c r="H372" s="437"/>
    </row>
    <row r="373" spans="2:8" ht="12.75">
      <c r="B373" s="437"/>
      <c r="C373" s="437"/>
      <c r="D373" s="437"/>
      <c r="E373" s="437"/>
      <c r="F373" s="437"/>
      <c r="G373" s="437"/>
      <c r="H373" s="437"/>
    </row>
    <row r="374" spans="2:8" ht="12.75">
      <c r="B374" s="437"/>
      <c r="C374" s="437"/>
      <c r="D374" s="437"/>
      <c r="E374" s="437"/>
      <c r="F374" s="437"/>
      <c r="G374" s="437"/>
      <c r="H374" s="437"/>
    </row>
    <row r="375" spans="2:8" ht="12.75">
      <c r="B375" s="437"/>
      <c r="C375" s="437"/>
      <c r="D375" s="437"/>
      <c r="E375" s="437"/>
      <c r="F375" s="437"/>
      <c r="G375" s="437"/>
      <c r="H375" s="437"/>
    </row>
    <row r="376" spans="2:8" ht="12.75">
      <c r="B376" s="437"/>
      <c r="C376" s="437"/>
      <c r="D376" s="437"/>
      <c r="E376" s="437"/>
      <c r="F376" s="437"/>
      <c r="G376" s="437"/>
      <c r="H376" s="437"/>
    </row>
    <row r="377" spans="2:8" ht="12.75">
      <c r="B377" s="437"/>
      <c r="C377" s="437"/>
      <c r="D377" s="437"/>
      <c r="E377" s="437"/>
      <c r="F377" s="437"/>
      <c r="G377" s="437"/>
      <c r="H377" s="437"/>
    </row>
    <row r="378" spans="2:8" ht="12.75">
      <c r="B378" s="437"/>
      <c r="C378" s="437"/>
      <c r="D378" s="437"/>
      <c r="E378" s="437"/>
      <c r="F378" s="437"/>
      <c r="G378" s="437"/>
      <c r="H378" s="437"/>
    </row>
    <row r="379" spans="2:8" ht="12.75">
      <c r="B379" s="437"/>
      <c r="C379" s="437"/>
      <c r="D379" s="437"/>
      <c r="E379" s="437"/>
      <c r="F379" s="437"/>
      <c r="G379" s="437"/>
      <c r="H379" s="437"/>
    </row>
    <row r="380" spans="2:8" ht="12.75">
      <c r="B380" s="437"/>
      <c r="C380" s="437"/>
      <c r="D380" s="437"/>
      <c r="E380" s="437"/>
      <c r="F380" s="437"/>
      <c r="G380" s="437"/>
      <c r="H380" s="437"/>
    </row>
    <row r="381" spans="2:8" ht="12.75">
      <c r="B381" s="437"/>
      <c r="C381" s="437"/>
      <c r="D381" s="437"/>
      <c r="E381" s="437"/>
      <c r="F381" s="437"/>
      <c r="G381" s="437"/>
      <c r="H381" s="437"/>
    </row>
    <row r="382" spans="2:8" ht="12.75">
      <c r="B382" s="437"/>
      <c r="C382" s="437"/>
      <c r="D382" s="437"/>
      <c r="E382" s="437"/>
      <c r="F382" s="437"/>
      <c r="G382" s="437"/>
      <c r="H382" s="437"/>
    </row>
    <row r="383" spans="2:8" ht="12.75">
      <c r="B383" s="437"/>
      <c r="C383" s="437"/>
      <c r="D383" s="437"/>
      <c r="E383" s="437"/>
      <c r="F383" s="437"/>
      <c r="G383" s="437"/>
      <c r="H383" s="437"/>
    </row>
    <row r="384" spans="2:8" ht="12.75">
      <c r="B384" s="437"/>
      <c r="C384" s="437"/>
      <c r="D384" s="437"/>
      <c r="E384" s="437"/>
      <c r="F384" s="437"/>
      <c r="G384" s="437"/>
      <c r="H384" s="437"/>
    </row>
    <row r="385" spans="2:8" ht="12.75">
      <c r="B385" s="437"/>
      <c r="C385" s="437"/>
      <c r="D385" s="437"/>
      <c r="E385" s="437"/>
      <c r="F385" s="437"/>
      <c r="G385" s="437"/>
      <c r="H385" s="437"/>
    </row>
    <row r="386" spans="2:8" ht="12.75">
      <c r="B386" s="437"/>
      <c r="C386" s="437"/>
      <c r="D386" s="437"/>
      <c r="E386" s="437"/>
      <c r="F386" s="437"/>
      <c r="G386" s="437"/>
      <c r="H386" s="437"/>
    </row>
    <row r="387" spans="2:8" ht="12.75">
      <c r="B387" s="437"/>
      <c r="C387" s="437"/>
      <c r="D387" s="437"/>
      <c r="E387" s="437"/>
      <c r="F387" s="437"/>
      <c r="G387" s="437"/>
      <c r="H387" s="437"/>
    </row>
    <row r="388" spans="2:8" ht="12.75">
      <c r="B388" s="437"/>
      <c r="C388" s="437"/>
      <c r="D388" s="437"/>
      <c r="E388" s="437"/>
      <c r="F388" s="437"/>
      <c r="G388" s="437"/>
      <c r="H388" s="437"/>
    </row>
    <row r="389" spans="2:8" ht="12.75">
      <c r="B389" s="437"/>
      <c r="C389" s="437"/>
      <c r="D389" s="437"/>
      <c r="E389" s="437"/>
      <c r="F389" s="437"/>
      <c r="G389" s="437"/>
      <c r="H389" s="437"/>
    </row>
    <row r="390" spans="2:8" ht="12.75">
      <c r="B390" s="437"/>
      <c r="C390" s="437"/>
      <c r="D390" s="437"/>
      <c r="E390" s="437"/>
      <c r="F390" s="437"/>
      <c r="G390" s="437"/>
      <c r="H390" s="437"/>
    </row>
    <row r="391" spans="2:8" ht="12.75">
      <c r="B391" s="437"/>
      <c r="C391" s="437"/>
      <c r="D391" s="437"/>
      <c r="E391" s="437"/>
      <c r="F391" s="437"/>
      <c r="G391" s="437"/>
      <c r="H391" s="437"/>
    </row>
    <row r="392" spans="2:8" ht="12.75">
      <c r="B392" s="437"/>
      <c r="C392" s="437"/>
      <c r="D392" s="437"/>
      <c r="E392" s="437"/>
      <c r="F392" s="437"/>
      <c r="G392" s="437"/>
      <c r="H392" s="437"/>
    </row>
    <row r="393" spans="2:8" ht="12.75">
      <c r="B393" s="437"/>
      <c r="C393" s="437"/>
      <c r="D393" s="437"/>
      <c r="E393" s="437"/>
      <c r="F393" s="437"/>
      <c r="G393" s="437"/>
      <c r="H393" s="437"/>
    </row>
    <row r="394" spans="2:8" ht="12.75">
      <c r="B394" s="437"/>
      <c r="C394" s="437"/>
      <c r="D394" s="437"/>
      <c r="E394" s="437"/>
      <c r="F394" s="437"/>
      <c r="G394" s="437"/>
      <c r="H394" s="437"/>
    </row>
    <row r="395" spans="2:8" ht="12.75">
      <c r="B395" s="437"/>
      <c r="C395" s="437"/>
      <c r="D395" s="437"/>
      <c r="E395" s="437"/>
      <c r="F395" s="437"/>
      <c r="G395" s="437"/>
      <c r="H395" s="437"/>
    </row>
    <row r="396" spans="2:8" ht="12.75">
      <c r="B396" s="437"/>
      <c r="C396" s="437"/>
      <c r="D396" s="437"/>
      <c r="E396" s="437"/>
      <c r="F396" s="437"/>
      <c r="G396" s="437"/>
      <c r="H396" s="437"/>
    </row>
    <row r="397" spans="2:8" ht="12.75">
      <c r="B397" s="437"/>
      <c r="C397" s="437"/>
      <c r="D397" s="437"/>
      <c r="E397" s="437"/>
      <c r="F397" s="437"/>
      <c r="G397" s="437"/>
      <c r="H397" s="437"/>
    </row>
    <row r="398" spans="2:8" ht="12.75">
      <c r="B398" s="437"/>
      <c r="C398" s="437"/>
      <c r="D398" s="437"/>
      <c r="E398" s="437"/>
      <c r="F398" s="437"/>
      <c r="G398" s="437"/>
      <c r="H398" s="437"/>
    </row>
    <row r="399" spans="2:8" ht="12.75">
      <c r="B399" s="437"/>
      <c r="C399" s="437"/>
      <c r="D399" s="437"/>
      <c r="E399" s="437"/>
      <c r="F399" s="437"/>
      <c r="G399" s="437"/>
      <c r="H399" s="437"/>
    </row>
    <row r="400" spans="2:8" ht="12.75">
      <c r="B400" s="437"/>
      <c r="C400" s="437"/>
      <c r="D400" s="437"/>
      <c r="E400" s="437"/>
      <c r="F400" s="437"/>
      <c r="G400" s="437"/>
      <c r="H400" s="437"/>
    </row>
    <row r="401" spans="2:8" ht="12.75">
      <c r="B401" s="437"/>
      <c r="C401" s="437"/>
      <c r="D401" s="437"/>
      <c r="E401" s="437"/>
      <c r="F401" s="437"/>
      <c r="G401" s="437"/>
      <c r="H401" s="437"/>
    </row>
    <row r="402" spans="2:8" ht="12.75">
      <c r="B402" s="437"/>
      <c r="C402" s="437"/>
      <c r="D402" s="437"/>
      <c r="E402" s="437"/>
      <c r="F402" s="437"/>
      <c r="G402" s="437"/>
      <c r="H402" s="437"/>
    </row>
    <row r="403" spans="2:8" ht="12.75">
      <c r="B403" s="437"/>
      <c r="C403" s="437"/>
      <c r="D403" s="437"/>
      <c r="E403" s="437"/>
      <c r="F403" s="437"/>
      <c r="G403" s="437"/>
      <c r="H403" s="437"/>
    </row>
    <row r="404" spans="2:8" ht="12.75">
      <c r="B404" s="437"/>
      <c r="C404" s="437"/>
      <c r="D404" s="437"/>
      <c r="E404" s="437"/>
      <c r="F404" s="437"/>
      <c r="G404" s="437"/>
      <c r="H404" s="437"/>
    </row>
    <row r="405" spans="2:8" ht="12.75">
      <c r="B405" s="437"/>
      <c r="C405" s="437"/>
      <c r="D405" s="437"/>
      <c r="E405" s="437"/>
      <c r="F405" s="437"/>
      <c r="G405" s="437"/>
      <c r="H405" s="437"/>
    </row>
    <row r="406" spans="2:8" ht="12.75">
      <c r="B406" s="437"/>
      <c r="C406" s="437"/>
      <c r="D406" s="437"/>
      <c r="E406" s="437"/>
      <c r="F406" s="437"/>
      <c r="G406" s="437"/>
      <c r="H406" s="437"/>
    </row>
    <row r="407" spans="2:8" ht="12.75">
      <c r="B407" s="437"/>
      <c r="C407" s="437"/>
      <c r="D407" s="437"/>
      <c r="E407" s="437"/>
      <c r="F407" s="437"/>
      <c r="G407" s="437"/>
      <c r="H407" s="437"/>
    </row>
    <row r="408" spans="2:8" ht="12.75">
      <c r="B408" s="437"/>
      <c r="C408" s="437"/>
      <c r="D408" s="437"/>
      <c r="E408" s="437"/>
      <c r="F408" s="437"/>
      <c r="G408" s="437"/>
      <c r="H408" s="437"/>
    </row>
    <row r="409" spans="2:8" ht="12.75">
      <c r="B409" s="437"/>
      <c r="C409" s="437"/>
      <c r="D409" s="437"/>
      <c r="E409" s="437"/>
      <c r="F409" s="437"/>
      <c r="G409" s="437"/>
      <c r="H409" s="437"/>
    </row>
    <row r="410" spans="2:8" ht="12.75">
      <c r="B410" s="437"/>
      <c r="C410" s="437"/>
      <c r="D410" s="437"/>
      <c r="E410" s="437"/>
      <c r="F410" s="437"/>
      <c r="G410" s="437"/>
      <c r="H410" s="437"/>
    </row>
    <row r="411" spans="2:8" ht="12.75">
      <c r="B411" s="437"/>
      <c r="C411" s="437"/>
      <c r="D411" s="437"/>
      <c r="E411" s="437"/>
      <c r="F411" s="437"/>
      <c r="G411" s="437"/>
      <c r="H411" s="437"/>
    </row>
    <row r="412" spans="2:8" ht="12.75">
      <c r="B412" s="437"/>
      <c r="C412" s="437"/>
      <c r="D412" s="437"/>
      <c r="E412" s="437"/>
      <c r="F412" s="437"/>
      <c r="G412" s="437"/>
      <c r="H412" s="437"/>
    </row>
    <row r="413" spans="2:8" ht="12.75">
      <c r="B413" s="437"/>
      <c r="C413" s="437"/>
      <c r="D413" s="437"/>
      <c r="E413" s="437"/>
      <c r="F413" s="437"/>
      <c r="G413" s="437"/>
      <c r="H413" s="437"/>
    </row>
    <row r="414" spans="2:8" ht="12.75">
      <c r="B414" s="437"/>
      <c r="C414" s="437"/>
      <c r="D414" s="437"/>
      <c r="E414" s="437"/>
      <c r="F414" s="437"/>
      <c r="G414" s="437"/>
      <c r="H414" s="437"/>
    </row>
    <row r="415" spans="2:8" ht="12.75">
      <c r="B415" s="437"/>
      <c r="C415" s="437"/>
      <c r="D415" s="437"/>
      <c r="E415" s="437"/>
      <c r="F415" s="437"/>
      <c r="G415" s="437"/>
      <c r="H415" s="437"/>
    </row>
    <row r="416" spans="2:8" ht="12.75">
      <c r="B416" s="437"/>
      <c r="C416" s="437"/>
      <c r="D416" s="437"/>
      <c r="E416" s="437"/>
      <c r="F416" s="437"/>
      <c r="G416" s="437"/>
      <c r="H416" s="437"/>
    </row>
    <row r="417" spans="2:8" ht="12.75">
      <c r="B417" s="437"/>
      <c r="C417" s="437"/>
      <c r="D417" s="437"/>
      <c r="E417" s="437"/>
      <c r="F417" s="437"/>
      <c r="G417" s="437"/>
      <c r="H417" s="437"/>
    </row>
    <row r="418" spans="2:8" ht="12.75">
      <c r="B418" s="437"/>
      <c r="C418" s="437"/>
      <c r="D418" s="437"/>
      <c r="E418" s="437"/>
      <c r="F418" s="437"/>
      <c r="G418" s="437"/>
      <c r="H418" s="437"/>
    </row>
    <row r="419" spans="2:8" ht="12.75">
      <c r="B419" s="437"/>
      <c r="C419" s="437"/>
      <c r="D419" s="437"/>
      <c r="E419" s="437"/>
      <c r="F419" s="437"/>
      <c r="G419" s="437"/>
      <c r="H419" s="437"/>
    </row>
    <row r="420" spans="2:8" ht="12.75">
      <c r="B420" s="437"/>
      <c r="C420" s="437"/>
      <c r="D420" s="437"/>
      <c r="E420" s="437"/>
      <c r="F420" s="437"/>
      <c r="G420" s="437"/>
      <c r="H420" s="437"/>
    </row>
    <row r="421" spans="2:8" ht="12.75">
      <c r="B421" s="437"/>
      <c r="C421" s="437"/>
      <c r="D421" s="437"/>
      <c r="E421" s="437"/>
      <c r="F421" s="437"/>
      <c r="G421" s="437"/>
      <c r="H421" s="437"/>
    </row>
    <row r="422" spans="2:8" ht="12.75">
      <c r="B422" s="437"/>
      <c r="C422" s="437"/>
      <c r="D422" s="437"/>
      <c r="E422" s="437"/>
      <c r="F422" s="437"/>
      <c r="G422" s="437"/>
      <c r="H422" s="437"/>
    </row>
    <row r="423" spans="2:8" ht="12.75">
      <c r="B423" s="437"/>
      <c r="C423" s="437"/>
      <c r="D423" s="437"/>
      <c r="E423" s="437"/>
      <c r="F423" s="437"/>
      <c r="G423" s="437"/>
      <c r="H423" s="437"/>
    </row>
    <row r="424" spans="2:8" ht="12.75">
      <c r="B424" s="437"/>
      <c r="C424" s="437"/>
      <c r="D424" s="437"/>
      <c r="E424" s="437"/>
      <c r="F424" s="437"/>
      <c r="G424" s="437"/>
      <c r="H424" s="437"/>
    </row>
    <row r="425" spans="2:8" ht="12.75">
      <c r="B425" s="437"/>
      <c r="C425" s="437"/>
      <c r="D425" s="437"/>
      <c r="E425" s="437"/>
      <c r="F425" s="437"/>
      <c r="G425" s="437"/>
      <c r="H425" s="437"/>
    </row>
    <row r="426" spans="2:8" ht="12.75">
      <c r="B426" s="437"/>
      <c r="C426" s="437"/>
      <c r="D426" s="437"/>
      <c r="E426" s="437"/>
      <c r="F426" s="437"/>
      <c r="G426" s="437"/>
      <c r="H426" s="437"/>
    </row>
    <row r="427" spans="2:8" ht="12.75">
      <c r="B427" s="437"/>
      <c r="C427" s="437"/>
      <c r="D427" s="437"/>
      <c r="E427" s="437"/>
      <c r="F427" s="437"/>
      <c r="G427" s="437"/>
      <c r="H427" s="437"/>
    </row>
    <row r="428" spans="2:8" ht="12.75">
      <c r="B428" s="437"/>
      <c r="C428" s="437"/>
      <c r="D428" s="437"/>
      <c r="E428" s="437"/>
      <c r="F428" s="437"/>
      <c r="G428" s="437"/>
      <c r="H428" s="437"/>
    </row>
    <row r="429" spans="2:8" ht="12.75">
      <c r="B429" s="437"/>
      <c r="C429" s="437"/>
      <c r="D429" s="437"/>
      <c r="E429" s="437"/>
      <c r="F429" s="437"/>
      <c r="G429" s="437"/>
      <c r="H429" s="437"/>
    </row>
    <row r="430" spans="2:8" ht="12.75">
      <c r="B430" s="437"/>
      <c r="C430" s="437"/>
      <c r="D430" s="437"/>
      <c r="E430" s="437"/>
      <c r="F430" s="437"/>
      <c r="G430" s="437"/>
      <c r="H430" s="437"/>
    </row>
    <row r="431" spans="2:8" ht="12.75">
      <c r="B431" s="437"/>
      <c r="C431" s="437"/>
      <c r="D431" s="437"/>
      <c r="E431" s="437"/>
      <c r="F431" s="437"/>
      <c r="G431" s="437"/>
      <c r="H431" s="437"/>
    </row>
    <row r="432" spans="2:8" ht="12.75">
      <c r="B432" s="437"/>
      <c r="C432" s="437"/>
      <c r="D432" s="437"/>
      <c r="E432" s="437"/>
      <c r="F432" s="437"/>
      <c r="G432" s="437"/>
      <c r="H432" s="437"/>
    </row>
    <row r="433" spans="2:8" ht="12.75">
      <c r="B433" s="437"/>
      <c r="C433" s="437"/>
      <c r="D433" s="437"/>
      <c r="E433" s="437"/>
      <c r="F433" s="437"/>
      <c r="G433" s="437"/>
      <c r="H433" s="437"/>
    </row>
    <row r="434" spans="2:8" ht="12.75">
      <c r="B434" s="437"/>
      <c r="C434" s="437"/>
      <c r="D434" s="437"/>
      <c r="E434" s="437"/>
      <c r="F434" s="437"/>
      <c r="G434" s="437"/>
      <c r="H434" s="437"/>
    </row>
    <row r="435" spans="2:8" ht="12.75">
      <c r="B435" s="437"/>
      <c r="C435" s="437"/>
      <c r="D435" s="437"/>
      <c r="E435" s="437"/>
      <c r="F435" s="437"/>
      <c r="G435" s="437"/>
      <c r="H435" s="437"/>
    </row>
    <row r="436" spans="2:8" ht="12.75">
      <c r="B436" s="437"/>
      <c r="C436" s="437"/>
      <c r="D436" s="437"/>
      <c r="E436" s="437"/>
      <c r="F436" s="437"/>
      <c r="G436" s="437"/>
      <c r="H436" s="437"/>
    </row>
    <row r="437" spans="2:8" ht="12.75">
      <c r="B437" s="437"/>
      <c r="C437" s="437"/>
      <c r="D437" s="437"/>
      <c r="E437" s="437"/>
      <c r="F437" s="437"/>
      <c r="G437" s="437"/>
      <c r="H437" s="437"/>
    </row>
    <row r="438" spans="2:8" ht="12.75">
      <c r="B438" s="437"/>
      <c r="C438" s="437"/>
      <c r="D438" s="437"/>
      <c r="E438" s="437"/>
      <c r="F438" s="437"/>
      <c r="G438" s="437"/>
      <c r="H438" s="437"/>
    </row>
    <row r="439" spans="2:8" ht="12.75">
      <c r="B439" s="437"/>
      <c r="C439" s="437"/>
      <c r="D439" s="437"/>
      <c r="E439" s="437"/>
      <c r="F439" s="437"/>
      <c r="G439" s="437"/>
      <c r="H439" s="437"/>
    </row>
    <row r="440" spans="2:8" ht="12.75">
      <c r="B440" s="437"/>
      <c r="C440" s="437"/>
      <c r="D440" s="437"/>
      <c r="E440" s="437"/>
      <c r="F440" s="437"/>
      <c r="G440" s="437"/>
      <c r="H440" s="437"/>
    </row>
    <row r="441" spans="2:8" ht="12.75">
      <c r="B441" s="437"/>
      <c r="C441" s="437"/>
      <c r="D441" s="437"/>
      <c r="E441" s="437"/>
      <c r="F441" s="437"/>
      <c r="G441" s="437"/>
      <c r="H441" s="437"/>
    </row>
    <row r="442" spans="2:8" ht="12.75">
      <c r="B442" s="437"/>
      <c r="C442" s="437"/>
      <c r="D442" s="437"/>
      <c r="E442" s="437"/>
      <c r="F442" s="437"/>
      <c r="G442" s="437"/>
      <c r="H442" s="437"/>
    </row>
    <row r="443" spans="2:8" ht="12.75">
      <c r="B443" s="437"/>
      <c r="C443" s="437"/>
      <c r="D443" s="437"/>
      <c r="E443" s="437"/>
      <c r="F443" s="437"/>
      <c r="G443" s="437"/>
      <c r="H443" s="437"/>
    </row>
    <row r="444" spans="2:8" ht="12.75">
      <c r="B444" s="437"/>
      <c r="C444" s="437"/>
      <c r="D444" s="437"/>
      <c r="E444" s="437"/>
      <c r="F444" s="437"/>
      <c r="G444" s="437"/>
      <c r="H444" s="437"/>
    </row>
    <row r="445" spans="2:8" ht="12.75">
      <c r="B445" s="437"/>
      <c r="C445" s="437"/>
      <c r="D445" s="437"/>
      <c r="E445" s="437"/>
      <c r="F445" s="437"/>
      <c r="G445" s="437"/>
      <c r="H445" s="437"/>
    </row>
    <row r="446" spans="2:8" ht="12.75">
      <c r="B446" s="437"/>
      <c r="C446" s="437"/>
      <c r="D446" s="437"/>
      <c r="E446" s="437"/>
      <c r="F446" s="437"/>
      <c r="G446" s="437"/>
      <c r="H446" s="437"/>
    </row>
    <row r="447" spans="2:8" ht="12.75">
      <c r="B447" s="437"/>
      <c r="C447" s="437"/>
      <c r="D447" s="437"/>
      <c r="E447" s="437"/>
      <c r="F447" s="437"/>
      <c r="G447" s="437"/>
      <c r="H447" s="437"/>
    </row>
    <row r="448" spans="2:8" ht="12.75">
      <c r="B448" s="437"/>
      <c r="C448" s="437"/>
      <c r="D448" s="437"/>
      <c r="E448" s="437"/>
      <c r="F448" s="437"/>
      <c r="G448" s="437"/>
      <c r="H448" s="437"/>
    </row>
    <row r="449" spans="2:8" ht="12.75">
      <c r="B449" s="437"/>
      <c r="C449" s="437"/>
      <c r="D449" s="437"/>
      <c r="E449" s="437"/>
      <c r="F449" s="437"/>
      <c r="G449" s="437"/>
      <c r="H449" s="437"/>
    </row>
    <row r="450" spans="2:8" ht="12.75">
      <c r="B450" s="437"/>
      <c r="C450" s="437"/>
      <c r="D450" s="437"/>
      <c r="E450" s="437"/>
      <c r="F450" s="437"/>
      <c r="G450" s="437"/>
      <c r="H450" s="437"/>
    </row>
    <row r="451" spans="2:8" ht="12.75">
      <c r="B451" s="437"/>
      <c r="C451" s="437"/>
      <c r="D451" s="437"/>
      <c r="E451" s="437"/>
      <c r="F451" s="437"/>
      <c r="G451" s="437"/>
      <c r="H451" s="437"/>
    </row>
    <row r="452" spans="2:8" ht="12.75">
      <c r="B452" s="437"/>
      <c r="C452" s="437"/>
      <c r="D452" s="437"/>
      <c r="E452" s="437"/>
      <c r="F452" s="437"/>
      <c r="G452" s="437"/>
      <c r="H452" s="437"/>
    </row>
    <row r="453" spans="2:8" ht="12.75">
      <c r="B453" s="437"/>
      <c r="C453" s="437"/>
      <c r="D453" s="437"/>
      <c r="E453" s="437"/>
      <c r="F453" s="437"/>
      <c r="G453" s="437"/>
      <c r="H453" s="437"/>
    </row>
    <row r="454" spans="2:8" ht="12.75">
      <c r="B454" s="437"/>
      <c r="C454" s="437"/>
      <c r="D454" s="437"/>
      <c r="E454" s="437"/>
      <c r="F454" s="437"/>
      <c r="G454" s="437"/>
      <c r="H454" s="437"/>
    </row>
    <row r="455" spans="2:8" ht="12.75">
      <c r="B455" s="437"/>
      <c r="C455" s="437"/>
      <c r="D455" s="437"/>
      <c r="E455" s="437"/>
      <c r="F455" s="437"/>
      <c r="G455" s="437"/>
      <c r="H455" s="437"/>
    </row>
    <row r="456" spans="2:8" ht="12.75">
      <c r="B456" s="437"/>
      <c r="C456" s="437"/>
      <c r="D456" s="437"/>
      <c r="E456" s="437"/>
      <c r="F456" s="437"/>
      <c r="G456" s="437"/>
      <c r="H456" s="437"/>
    </row>
    <row r="457" spans="2:8" ht="12.75">
      <c r="B457" s="437"/>
      <c r="C457" s="437"/>
      <c r="D457" s="437"/>
      <c r="E457" s="437"/>
      <c r="F457" s="437"/>
      <c r="G457" s="437"/>
      <c r="H457" s="437"/>
    </row>
    <row r="458" spans="2:8" ht="12.75">
      <c r="B458" s="437"/>
      <c r="C458" s="437"/>
      <c r="D458" s="437"/>
      <c r="E458" s="437"/>
      <c r="F458" s="437"/>
      <c r="G458" s="437"/>
      <c r="H458" s="437"/>
    </row>
    <row r="459" spans="2:8" ht="12.75">
      <c r="B459" s="437"/>
      <c r="C459" s="437"/>
      <c r="D459" s="437"/>
      <c r="E459" s="437"/>
      <c r="F459" s="437"/>
      <c r="G459" s="437"/>
      <c r="H459" s="437"/>
    </row>
    <row r="460" spans="2:8" ht="12.75">
      <c r="B460" s="437"/>
      <c r="C460" s="437"/>
      <c r="D460" s="437"/>
      <c r="E460" s="437"/>
      <c r="F460" s="437"/>
      <c r="G460" s="437"/>
      <c r="H460" s="437"/>
    </row>
    <row r="461" spans="2:8" ht="12.75">
      <c r="B461" s="437"/>
      <c r="C461" s="437"/>
      <c r="D461" s="437"/>
      <c r="E461" s="437"/>
      <c r="F461" s="437"/>
      <c r="G461" s="437"/>
      <c r="H461" s="437"/>
    </row>
    <row r="462" spans="2:8" ht="12.75">
      <c r="B462" s="437"/>
      <c r="C462" s="437"/>
      <c r="D462" s="437"/>
      <c r="E462" s="437"/>
      <c r="F462" s="437"/>
      <c r="G462" s="437"/>
      <c r="H462" s="437"/>
    </row>
    <row r="463" spans="2:8" ht="12.75">
      <c r="B463" s="437"/>
      <c r="C463" s="437"/>
      <c r="D463" s="437"/>
      <c r="E463" s="437"/>
      <c r="F463" s="437"/>
      <c r="G463" s="437"/>
      <c r="H463" s="437"/>
    </row>
    <row r="464" spans="2:8" ht="12.75">
      <c r="B464" s="437"/>
      <c r="C464" s="437"/>
      <c r="D464" s="437"/>
      <c r="E464" s="437"/>
      <c r="F464" s="437"/>
      <c r="G464" s="437"/>
      <c r="H464" s="437"/>
    </row>
    <row r="465" spans="2:8" ht="12.75">
      <c r="B465" s="437"/>
      <c r="C465" s="437"/>
      <c r="D465" s="437"/>
      <c r="E465" s="437"/>
      <c r="F465" s="437"/>
      <c r="G465" s="437"/>
      <c r="H465" s="437"/>
    </row>
    <row r="466" spans="2:8" ht="12.75">
      <c r="B466" s="437"/>
      <c r="C466" s="437"/>
      <c r="D466" s="437"/>
      <c r="E466" s="437"/>
      <c r="F466" s="437"/>
      <c r="G466" s="437"/>
      <c r="H466" s="437"/>
    </row>
    <row r="467" spans="2:8" ht="12.75">
      <c r="B467" s="437"/>
      <c r="C467" s="437"/>
      <c r="D467" s="437"/>
      <c r="E467" s="437"/>
      <c r="F467" s="437"/>
      <c r="G467" s="437"/>
      <c r="H467" s="437"/>
    </row>
    <row r="468" spans="2:8" ht="12.75">
      <c r="B468" s="437"/>
      <c r="C468" s="437"/>
      <c r="D468" s="437"/>
      <c r="E468" s="437"/>
      <c r="F468" s="437"/>
      <c r="G468" s="437"/>
      <c r="H468" s="437"/>
    </row>
    <row r="469" spans="2:8" ht="12.75">
      <c r="B469" s="437"/>
      <c r="C469" s="437"/>
      <c r="D469" s="437"/>
      <c r="E469" s="437"/>
      <c r="F469" s="437"/>
      <c r="G469" s="437"/>
      <c r="H469" s="437"/>
    </row>
    <row r="470" spans="2:8" ht="12.75">
      <c r="B470" s="437"/>
      <c r="C470" s="437"/>
      <c r="D470" s="437"/>
      <c r="E470" s="437"/>
      <c r="F470" s="437"/>
      <c r="G470" s="437"/>
      <c r="H470" s="437"/>
    </row>
    <row r="471" spans="2:8" ht="12.75">
      <c r="B471" s="437"/>
      <c r="C471" s="437"/>
      <c r="D471" s="437"/>
      <c r="E471" s="437"/>
      <c r="F471" s="437"/>
      <c r="G471" s="437"/>
      <c r="H471" s="437"/>
    </row>
    <row r="472" spans="2:8" ht="12.75">
      <c r="B472" s="437"/>
      <c r="C472" s="437"/>
      <c r="D472" s="437"/>
      <c r="E472" s="437"/>
      <c r="F472" s="437"/>
      <c r="G472" s="437"/>
      <c r="H472" s="437"/>
    </row>
    <row r="473" spans="2:8" ht="12.75">
      <c r="B473" s="437"/>
      <c r="C473" s="437"/>
      <c r="D473" s="437"/>
      <c r="E473" s="437"/>
      <c r="F473" s="437"/>
      <c r="G473" s="437"/>
      <c r="H473" s="437"/>
    </row>
    <row r="474" spans="2:8" ht="12.75">
      <c r="B474" s="437"/>
      <c r="C474" s="437"/>
      <c r="D474" s="437"/>
      <c r="E474" s="437"/>
      <c r="F474" s="437"/>
      <c r="G474" s="437"/>
      <c r="H474" s="437"/>
    </row>
    <row r="475" spans="2:8" ht="12.75">
      <c r="B475" s="437"/>
      <c r="C475" s="437"/>
      <c r="D475" s="437"/>
      <c r="E475" s="437"/>
      <c r="F475" s="437"/>
      <c r="G475" s="437"/>
      <c r="H475" s="437"/>
    </row>
    <row r="476" spans="2:8" ht="12.75">
      <c r="B476" s="437"/>
      <c r="C476" s="437"/>
      <c r="D476" s="437"/>
      <c r="E476" s="437"/>
      <c r="F476" s="437"/>
      <c r="G476" s="437"/>
      <c r="H476" s="437"/>
    </row>
    <row r="477" spans="2:8" ht="12.75">
      <c r="B477" s="437"/>
      <c r="C477" s="437"/>
      <c r="D477" s="437"/>
      <c r="E477" s="437"/>
      <c r="F477" s="437"/>
      <c r="G477" s="437"/>
      <c r="H477" s="437"/>
    </row>
    <row r="478" spans="2:8" ht="12.75">
      <c r="B478" s="437"/>
      <c r="C478" s="437"/>
      <c r="D478" s="437"/>
      <c r="E478" s="437"/>
      <c r="F478" s="437"/>
      <c r="G478" s="437"/>
      <c r="H478" s="437"/>
    </row>
    <row r="479" spans="2:8" ht="12.75">
      <c r="B479" s="437"/>
      <c r="C479" s="437"/>
      <c r="D479" s="437"/>
      <c r="E479" s="437"/>
      <c r="F479" s="437"/>
      <c r="G479" s="437"/>
      <c r="H479" s="437"/>
    </row>
    <row r="480" spans="2:8" ht="12.75">
      <c r="B480" s="437"/>
      <c r="C480" s="437"/>
      <c r="D480" s="437"/>
      <c r="E480" s="437"/>
      <c r="F480" s="437"/>
      <c r="G480" s="437"/>
      <c r="H480" s="437"/>
    </row>
    <row r="481" spans="2:8" ht="12.75">
      <c r="B481" s="437"/>
      <c r="C481" s="437"/>
      <c r="D481" s="437"/>
      <c r="E481" s="437"/>
      <c r="F481" s="437"/>
      <c r="G481" s="437"/>
      <c r="H481" s="437"/>
    </row>
    <row r="482" spans="2:8" ht="12.75">
      <c r="B482" s="437"/>
      <c r="C482" s="437"/>
      <c r="D482" s="437"/>
      <c r="E482" s="437"/>
      <c r="F482" s="437"/>
      <c r="G482" s="437"/>
      <c r="H482" s="437"/>
    </row>
    <row r="483" spans="2:8" ht="12.75">
      <c r="B483" s="437"/>
      <c r="C483" s="437"/>
      <c r="D483" s="437"/>
      <c r="E483" s="437"/>
      <c r="F483" s="437"/>
      <c r="G483" s="437"/>
      <c r="H483" s="437"/>
    </row>
    <row r="484" spans="2:8" ht="12.75">
      <c r="B484" s="437"/>
      <c r="C484" s="437"/>
      <c r="D484" s="437"/>
      <c r="E484" s="437"/>
      <c r="F484" s="437"/>
      <c r="G484" s="437"/>
      <c r="H484" s="437"/>
    </row>
    <row r="485" spans="2:8" ht="12.75">
      <c r="B485" s="437"/>
      <c r="C485" s="437"/>
      <c r="D485" s="437"/>
      <c r="E485" s="437"/>
      <c r="F485" s="437"/>
      <c r="G485" s="437"/>
      <c r="H485" s="437"/>
    </row>
    <row r="486" spans="2:8" ht="12.75">
      <c r="B486" s="437"/>
      <c r="C486" s="437"/>
      <c r="D486" s="437"/>
      <c r="E486" s="437"/>
      <c r="F486" s="437"/>
      <c r="G486" s="437"/>
      <c r="H486" s="437"/>
    </row>
    <row r="487" spans="2:8" ht="12.75">
      <c r="B487" s="437"/>
      <c r="C487" s="437"/>
      <c r="D487" s="437"/>
      <c r="E487" s="437"/>
      <c r="F487" s="437"/>
      <c r="G487" s="437"/>
      <c r="H487" s="437"/>
    </row>
    <row r="488" spans="2:8" ht="12.75">
      <c r="B488" s="437"/>
      <c r="C488" s="437"/>
      <c r="D488" s="437"/>
      <c r="E488" s="437"/>
      <c r="F488" s="437"/>
      <c r="G488" s="437"/>
      <c r="H488" s="437"/>
    </row>
    <row r="489" spans="2:8" ht="12.75">
      <c r="B489" s="437"/>
      <c r="C489" s="437"/>
      <c r="D489" s="437"/>
      <c r="E489" s="437"/>
      <c r="F489" s="437"/>
      <c r="G489" s="437"/>
      <c r="H489" s="437"/>
    </row>
    <row r="490" spans="2:8" ht="12.75">
      <c r="B490" s="437"/>
      <c r="C490" s="437"/>
      <c r="D490" s="437"/>
      <c r="E490" s="437"/>
      <c r="F490" s="437"/>
      <c r="G490" s="437"/>
      <c r="H490" s="437"/>
    </row>
    <row r="491" spans="2:8" ht="12.75">
      <c r="B491" s="437"/>
      <c r="C491" s="437"/>
      <c r="D491" s="437"/>
      <c r="E491" s="437"/>
      <c r="F491" s="437"/>
      <c r="G491" s="437"/>
      <c r="H491" s="437"/>
    </row>
    <row r="492" spans="2:8" ht="12.75">
      <c r="B492" s="437"/>
      <c r="C492" s="437"/>
      <c r="D492" s="437"/>
      <c r="E492" s="437"/>
      <c r="F492" s="437"/>
      <c r="G492" s="437"/>
      <c r="H492" s="437"/>
    </row>
    <row r="493" spans="2:8" ht="12.75">
      <c r="B493" s="437"/>
      <c r="C493" s="437"/>
      <c r="D493" s="437"/>
      <c r="E493" s="437"/>
      <c r="F493" s="437"/>
      <c r="G493" s="437"/>
      <c r="H493" s="437"/>
    </row>
    <row r="494" spans="2:8" ht="12.75">
      <c r="B494" s="437"/>
      <c r="C494" s="437"/>
      <c r="D494" s="437"/>
      <c r="E494" s="437"/>
      <c r="F494" s="437"/>
      <c r="G494" s="437"/>
      <c r="H494" s="437"/>
    </row>
    <row r="495" spans="2:8" ht="12.75">
      <c r="B495" s="437"/>
      <c r="C495" s="437"/>
      <c r="D495" s="437"/>
      <c r="E495" s="437"/>
      <c r="F495" s="437"/>
      <c r="G495" s="437"/>
      <c r="H495" s="437"/>
    </row>
    <row r="496" spans="2:8" ht="12.75">
      <c r="B496" s="437"/>
      <c r="C496" s="437"/>
      <c r="D496" s="437"/>
      <c r="E496" s="437"/>
      <c r="F496" s="437"/>
      <c r="G496" s="437"/>
      <c r="H496" s="437"/>
    </row>
    <row r="497" spans="2:8" ht="12.75">
      <c r="B497" s="437"/>
      <c r="C497" s="437"/>
      <c r="D497" s="437"/>
      <c r="E497" s="437"/>
      <c r="F497" s="437"/>
      <c r="G497" s="437"/>
      <c r="H497" s="437"/>
    </row>
    <row r="498" spans="2:8" ht="12.75">
      <c r="B498" s="437"/>
      <c r="C498" s="437"/>
      <c r="D498" s="437"/>
      <c r="E498" s="437"/>
      <c r="F498" s="437"/>
      <c r="G498" s="437"/>
      <c r="H498" s="437"/>
    </row>
    <row r="499" spans="2:8" ht="12.75">
      <c r="B499" s="437"/>
      <c r="C499" s="437"/>
      <c r="D499" s="437"/>
      <c r="E499" s="437"/>
      <c r="F499" s="437"/>
      <c r="G499" s="437"/>
      <c r="H499" s="437"/>
    </row>
    <row r="500" spans="2:8" ht="12.75">
      <c r="B500" s="437"/>
      <c r="C500" s="437"/>
      <c r="D500" s="437"/>
      <c r="E500" s="437"/>
      <c r="F500" s="437"/>
      <c r="G500" s="437"/>
      <c r="H500" s="437"/>
    </row>
    <row r="501" spans="2:8" ht="12.75">
      <c r="B501" s="437"/>
      <c r="C501" s="437"/>
      <c r="D501" s="437"/>
      <c r="E501" s="437"/>
      <c r="F501" s="437"/>
      <c r="G501" s="437"/>
      <c r="H501" s="437"/>
    </row>
    <row r="502" spans="2:8" ht="12.75">
      <c r="B502" s="437"/>
      <c r="C502" s="437"/>
      <c r="D502" s="437"/>
      <c r="E502" s="437"/>
      <c r="F502" s="437"/>
      <c r="G502" s="437"/>
      <c r="H502" s="437"/>
    </row>
    <row r="503" spans="2:8" ht="12.75">
      <c r="B503" s="437"/>
      <c r="C503" s="437"/>
      <c r="D503" s="437"/>
      <c r="E503" s="437"/>
      <c r="F503" s="437"/>
      <c r="G503" s="437"/>
      <c r="H503" s="437"/>
    </row>
    <row r="504" spans="2:8" ht="12.75">
      <c r="B504" s="437"/>
      <c r="C504" s="437"/>
      <c r="D504" s="437"/>
      <c r="E504" s="437"/>
      <c r="F504" s="437"/>
      <c r="G504" s="437"/>
      <c r="H504" s="437"/>
    </row>
    <row r="505" spans="2:8" ht="12.75">
      <c r="B505" s="437"/>
      <c r="C505" s="437"/>
      <c r="D505" s="437"/>
      <c r="E505" s="437"/>
      <c r="F505" s="437"/>
      <c r="G505" s="437"/>
      <c r="H505" s="437"/>
    </row>
    <row r="506" spans="2:8" ht="12.75">
      <c r="B506" s="437"/>
      <c r="C506" s="437"/>
      <c r="D506" s="437"/>
      <c r="E506" s="437"/>
      <c r="F506" s="437"/>
      <c r="G506" s="437"/>
      <c r="H506" s="437"/>
    </row>
    <row r="507" spans="2:8" ht="12.75">
      <c r="B507" s="437"/>
      <c r="C507" s="437"/>
      <c r="D507" s="437"/>
      <c r="E507" s="437"/>
      <c r="F507" s="437"/>
      <c r="G507" s="437"/>
      <c r="H507" s="437"/>
    </row>
    <row r="508" spans="2:8" ht="12.75">
      <c r="B508" s="437"/>
      <c r="C508" s="437"/>
      <c r="D508" s="437"/>
      <c r="E508" s="437"/>
      <c r="F508" s="437"/>
      <c r="G508" s="437"/>
      <c r="H508" s="437"/>
    </row>
    <row r="509" spans="2:8" ht="12.75">
      <c r="B509" s="437"/>
      <c r="C509" s="437"/>
      <c r="D509" s="437"/>
      <c r="E509" s="437"/>
      <c r="F509" s="437"/>
      <c r="G509" s="437"/>
      <c r="H509" s="437"/>
    </row>
    <row r="510" spans="2:8" ht="12.75">
      <c r="B510" s="437"/>
      <c r="C510" s="437"/>
      <c r="D510" s="437"/>
      <c r="E510" s="437"/>
      <c r="F510" s="437"/>
      <c r="G510" s="437"/>
      <c r="H510" s="437"/>
    </row>
    <row r="511" spans="2:8" ht="12.75">
      <c r="B511" s="437"/>
      <c r="C511" s="437"/>
      <c r="D511" s="437"/>
      <c r="E511" s="437"/>
      <c r="F511" s="437"/>
      <c r="G511" s="437"/>
      <c r="H511" s="437"/>
    </row>
    <row r="512" spans="2:8" ht="12.75">
      <c r="B512" s="437"/>
      <c r="C512" s="437"/>
      <c r="D512" s="437"/>
      <c r="E512" s="437"/>
      <c r="F512" s="437"/>
      <c r="G512" s="437"/>
      <c r="H512" s="437"/>
    </row>
    <row r="513" spans="2:8" ht="12.75">
      <c r="B513" s="437"/>
      <c r="C513" s="437"/>
      <c r="D513" s="437"/>
      <c r="E513" s="437"/>
      <c r="F513" s="437"/>
      <c r="G513" s="437"/>
      <c r="H513" s="437"/>
    </row>
    <row r="514" spans="2:8" ht="12.75">
      <c r="B514" s="437"/>
      <c r="C514" s="437"/>
      <c r="D514" s="437"/>
      <c r="E514" s="437"/>
      <c r="F514" s="437"/>
      <c r="G514" s="437"/>
      <c r="H514" s="437"/>
    </row>
    <row r="515" spans="2:8" ht="12.75">
      <c r="B515" s="437"/>
      <c r="C515" s="437"/>
      <c r="D515" s="437"/>
      <c r="E515" s="437"/>
      <c r="F515" s="437"/>
      <c r="G515" s="437"/>
      <c r="H515" s="437"/>
    </row>
    <row r="516" spans="2:8" ht="12.75">
      <c r="B516" s="437"/>
      <c r="C516" s="437"/>
      <c r="D516" s="437"/>
      <c r="E516" s="437"/>
      <c r="F516" s="437"/>
      <c r="G516" s="437"/>
      <c r="H516" s="437"/>
    </row>
    <row r="517" spans="2:8" ht="12.75">
      <c r="B517" s="437"/>
      <c r="C517" s="437"/>
      <c r="D517" s="437"/>
      <c r="E517" s="437"/>
      <c r="F517" s="437"/>
      <c r="G517" s="437"/>
      <c r="H517" s="437"/>
    </row>
    <row r="518" spans="2:8" ht="12.75">
      <c r="B518" s="437"/>
      <c r="C518" s="437"/>
      <c r="D518" s="437"/>
      <c r="E518" s="437"/>
      <c r="F518" s="437"/>
      <c r="G518" s="437"/>
      <c r="H518" s="437"/>
    </row>
    <row r="519" spans="2:8" ht="12.75">
      <c r="B519" s="437"/>
      <c r="C519" s="437"/>
      <c r="D519" s="437"/>
      <c r="E519" s="437"/>
      <c r="F519" s="437"/>
      <c r="G519" s="437"/>
      <c r="H519" s="437"/>
    </row>
    <row r="520" spans="2:8" ht="12.75">
      <c r="B520" s="437"/>
      <c r="C520" s="437"/>
      <c r="D520" s="437"/>
      <c r="E520" s="437"/>
      <c r="F520" s="437"/>
      <c r="G520" s="437"/>
      <c r="H520" s="437"/>
    </row>
    <row r="521" spans="2:8" ht="12.75">
      <c r="B521" s="437"/>
      <c r="C521" s="437"/>
      <c r="D521" s="437"/>
      <c r="E521" s="437"/>
      <c r="F521" s="437"/>
      <c r="G521" s="437"/>
      <c r="H521" s="437"/>
    </row>
    <row r="522" spans="2:8" ht="12.75">
      <c r="B522" s="437"/>
      <c r="C522" s="437"/>
      <c r="D522" s="437"/>
      <c r="E522" s="437"/>
      <c r="F522" s="437"/>
      <c r="G522" s="437"/>
      <c r="H522" s="437"/>
    </row>
    <row r="523" spans="2:8" ht="12.75">
      <c r="B523" s="437"/>
      <c r="C523" s="437"/>
      <c r="D523" s="437"/>
      <c r="E523" s="437"/>
      <c r="F523" s="437"/>
      <c r="G523" s="437"/>
      <c r="H523" s="437"/>
    </row>
    <row r="524" spans="2:8" ht="12.75">
      <c r="B524" s="437"/>
      <c r="C524" s="437"/>
      <c r="D524" s="437"/>
      <c r="E524" s="437"/>
      <c r="F524" s="437"/>
      <c r="G524" s="437"/>
      <c r="H524" s="437"/>
    </row>
    <row r="525" spans="2:8" ht="12.75">
      <c r="B525" s="437"/>
      <c r="C525" s="437"/>
      <c r="D525" s="437"/>
      <c r="E525" s="437"/>
      <c r="F525" s="437"/>
      <c r="G525" s="437"/>
      <c r="H525" s="437"/>
    </row>
    <row r="526" spans="2:8" ht="12.75">
      <c r="B526" s="437"/>
      <c r="C526" s="437"/>
      <c r="D526" s="437"/>
      <c r="E526" s="437"/>
      <c r="F526" s="437"/>
      <c r="G526" s="437"/>
      <c r="H526" s="437"/>
    </row>
    <row r="527" spans="2:8" ht="12.75">
      <c r="B527" s="437"/>
      <c r="C527" s="437"/>
      <c r="D527" s="437"/>
      <c r="E527" s="437"/>
      <c r="F527" s="437"/>
      <c r="G527" s="437"/>
      <c r="H527" s="437"/>
    </row>
    <row r="528" spans="2:8" ht="12.75">
      <c r="B528" s="437"/>
      <c r="C528" s="437"/>
      <c r="D528" s="437"/>
      <c r="E528" s="437"/>
      <c r="F528" s="437"/>
      <c r="G528" s="437"/>
      <c r="H528" s="437"/>
    </row>
    <row r="529" spans="2:8" ht="12.75">
      <c r="B529" s="437"/>
      <c r="C529" s="437"/>
      <c r="D529" s="437"/>
      <c r="E529" s="437"/>
      <c r="F529" s="437"/>
      <c r="G529" s="437"/>
      <c r="H529" s="437"/>
    </row>
    <row r="530" spans="2:8" ht="12.75">
      <c r="B530" s="437"/>
      <c r="C530" s="437"/>
      <c r="D530" s="437"/>
      <c r="E530" s="437"/>
      <c r="F530" s="437"/>
      <c r="G530" s="437"/>
      <c r="H530" s="437"/>
    </row>
    <row r="531" spans="2:8" ht="12.75">
      <c r="B531" s="437"/>
      <c r="C531" s="437"/>
      <c r="D531" s="437"/>
      <c r="E531" s="437"/>
      <c r="F531" s="437"/>
      <c r="G531" s="437"/>
      <c r="H531" s="437"/>
    </row>
    <row r="532" spans="2:8" ht="12.75">
      <c r="B532" s="437"/>
      <c r="C532" s="437"/>
      <c r="D532" s="437"/>
      <c r="E532" s="437"/>
      <c r="F532" s="437"/>
      <c r="G532" s="437"/>
      <c r="H532" s="437"/>
    </row>
    <row r="533" spans="2:8" ht="12.75">
      <c r="B533" s="437"/>
      <c r="C533" s="437"/>
      <c r="D533" s="437"/>
      <c r="E533" s="437"/>
      <c r="F533" s="437"/>
      <c r="G533" s="437"/>
      <c r="H533" s="437"/>
    </row>
    <row r="534" spans="2:8" ht="12.75">
      <c r="B534" s="437"/>
      <c r="C534" s="437"/>
      <c r="D534" s="437"/>
      <c r="E534" s="437"/>
      <c r="F534" s="437"/>
      <c r="G534" s="437"/>
      <c r="H534" s="437"/>
    </row>
    <row r="535" spans="2:8" ht="12.75">
      <c r="B535" s="437"/>
      <c r="C535" s="437"/>
      <c r="D535" s="437"/>
      <c r="E535" s="437"/>
      <c r="F535" s="437"/>
      <c r="G535" s="437"/>
      <c r="H535" s="437"/>
    </row>
    <row r="536" spans="2:8" ht="12.75">
      <c r="B536" s="437"/>
      <c r="C536" s="437"/>
      <c r="D536" s="437"/>
      <c r="E536" s="437"/>
      <c r="F536" s="437"/>
      <c r="G536" s="437"/>
      <c r="H536" s="437"/>
    </row>
    <row r="537" spans="2:8" ht="12.75">
      <c r="B537" s="437"/>
      <c r="C537" s="437"/>
      <c r="D537" s="437"/>
      <c r="E537" s="437"/>
      <c r="F537" s="437"/>
      <c r="G537" s="437"/>
      <c r="H537" s="437"/>
    </row>
    <row r="538" spans="2:8" ht="12.75">
      <c r="B538" s="437"/>
      <c r="C538" s="437"/>
      <c r="D538" s="437"/>
      <c r="E538" s="437"/>
      <c r="F538" s="437"/>
      <c r="G538" s="437"/>
      <c r="H538" s="437"/>
    </row>
    <row r="539" spans="2:8" ht="12.75">
      <c r="B539" s="437"/>
      <c r="C539" s="437"/>
      <c r="D539" s="437"/>
      <c r="E539" s="437"/>
      <c r="F539" s="437"/>
      <c r="G539" s="437"/>
      <c r="H539" s="437"/>
    </row>
    <row r="540" spans="2:8" ht="12.75">
      <c r="B540" s="437"/>
      <c r="C540" s="437"/>
      <c r="D540" s="437"/>
      <c r="E540" s="437"/>
      <c r="F540" s="437"/>
      <c r="G540" s="437"/>
      <c r="H540" s="437"/>
    </row>
    <row r="541" spans="2:8" ht="12.75">
      <c r="B541" s="437"/>
      <c r="C541" s="437"/>
      <c r="D541" s="437"/>
      <c r="E541" s="437"/>
      <c r="F541" s="437"/>
      <c r="G541" s="437"/>
      <c r="H541" s="437"/>
    </row>
    <row r="542" spans="2:8" ht="12.75">
      <c r="B542" s="437"/>
      <c r="C542" s="437"/>
      <c r="D542" s="437"/>
      <c r="E542" s="437"/>
      <c r="F542" s="437"/>
      <c r="G542" s="437"/>
      <c r="H542" s="437"/>
    </row>
    <row r="543" spans="2:8" ht="12.75">
      <c r="B543" s="437"/>
      <c r="C543" s="437"/>
      <c r="D543" s="437"/>
      <c r="E543" s="437"/>
      <c r="F543" s="437"/>
      <c r="G543" s="437"/>
      <c r="H543" s="437"/>
    </row>
    <row r="544" spans="2:8" ht="12.75">
      <c r="B544" s="437"/>
      <c r="C544" s="437"/>
      <c r="D544" s="437"/>
      <c r="E544" s="437"/>
      <c r="F544" s="437"/>
      <c r="G544" s="437"/>
      <c r="H544" s="437"/>
    </row>
    <row r="545" spans="2:8" ht="12.75">
      <c r="B545" s="437"/>
      <c r="C545" s="437"/>
      <c r="D545" s="437"/>
      <c r="E545" s="437"/>
      <c r="F545" s="437"/>
      <c r="G545" s="437"/>
      <c r="H545" s="437"/>
    </row>
    <row r="546" spans="2:8" ht="12.75">
      <c r="B546" s="437"/>
      <c r="C546" s="437"/>
      <c r="D546" s="437"/>
      <c r="E546" s="437"/>
      <c r="F546" s="437"/>
      <c r="G546" s="437"/>
      <c r="H546" s="437"/>
    </row>
    <row r="547" spans="2:8" ht="12.75">
      <c r="B547" s="437"/>
      <c r="C547" s="437"/>
      <c r="D547" s="437"/>
      <c r="E547" s="437"/>
      <c r="F547" s="437"/>
      <c r="G547" s="437"/>
      <c r="H547" s="437"/>
    </row>
    <row r="548" spans="2:8" ht="12.75">
      <c r="B548" s="437"/>
      <c r="C548" s="437"/>
      <c r="D548" s="437"/>
      <c r="E548" s="437"/>
      <c r="F548" s="437"/>
      <c r="G548" s="437"/>
      <c r="H548" s="437"/>
    </row>
    <row r="549" spans="2:8" ht="12.75">
      <c r="B549" s="437"/>
      <c r="C549" s="437"/>
      <c r="D549" s="437"/>
      <c r="E549" s="437"/>
      <c r="F549" s="437"/>
      <c r="G549" s="437"/>
      <c r="H549" s="437"/>
    </row>
    <row r="550" spans="2:8" ht="12.75">
      <c r="B550" s="437"/>
      <c r="C550" s="437"/>
      <c r="D550" s="437"/>
      <c r="E550" s="437"/>
      <c r="F550" s="437"/>
      <c r="G550" s="437"/>
      <c r="H550" s="437"/>
    </row>
    <row r="551" spans="2:8" ht="12.75">
      <c r="B551" s="437"/>
      <c r="C551" s="437"/>
      <c r="D551" s="437"/>
      <c r="E551" s="437"/>
      <c r="F551" s="437"/>
      <c r="G551" s="437"/>
      <c r="H551" s="437"/>
    </row>
    <row r="552" spans="2:8" ht="12.75">
      <c r="B552" s="437"/>
      <c r="C552" s="437"/>
      <c r="D552" s="437"/>
      <c r="E552" s="437"/>
      <c r="F552" s="437"/>
      <c r="G552" s="437"/>
      <c r="H552" s="437"/>
    </row>
    <row r="553" spans="2:8" ht="12.75">
      <c r="B553" s="437"/>
      <c r="C553" s="437"/>
      <c r="D553" s="437"/>
      <c r="E553" s="437"/>
      <c r="F553" s="437"/>
      <c r="G553" s="437"/>
      <c r="H553" s="437"/>
    </row>
    <row r="554" spans="2:8" ht="12.75">
      <c r="B554" s="437"/>
      <c r="C554" s="437"/>
      <c r="D554" s="437"/>
      <c r="E554" s="437"/>
      <c r="F554" s="437"/>
      <c r="G554" s="437"/>
      <c r="H554" s="437"/>
    </row>
    <row r="555" spans="2:8" ht="12.75">
      <c r="B555" s="437"/>
      <c r="C555" s="437"/>
      <c r="D555" s="437"/>
      <c r="E555" s="437"/>
      <c r="F555" s="437"/>
      <c r="G555" s="437"/>
      <c r="H555" s="437"/>
    </row>
    <row r="556" spans="2:8" ht="12.75">
      <c r="B556" s="437"/>
      <c r="C556" s="437"/>
      <c r="D556" s="437"/>
      <c r="E556" s="437"/>
      <c r="F556" s="437"/>
      <c r="G556" s="437"/>
      <c r="H556" s="437"/>
    </row>
    <row r="557" spans="2:8" ht="12.75">
      <c r="B557" s="437"/>
      <c r="C557" s="437"/>
      <c r="D557" s="437"/>
      <c r="E557" s="437"/>
      <c r="F557" s="437"/>
      <c r="G557" s="437"/>
      <c r="H557" s="437"/>
    </row>
    <row r="558" spans="2:8" ht="12.75">
      <c r="B558" s="437"/>
      <c r="C558" s="437"/>
      <c r="D558" s="437"/>
      <c r="E558" s="437"/>
      <c r="F558" s="437"/>
      <c r="G558" s="437"/>
      <c r="H558" s="437"/>
    </row>
    <row r="559" spans="2:8" ht="12.75">
      <c r="B559" s="437"/>
      <c r="C559" s="437"/>
      <c r="D559" s="437"/>
      <c r="E559" s="437"/>
      <c r="F559" s="437"/>
      <c r="G559" s="437"/>
      <c r="H559" s="437"/>
    </row>
    <row r="560" spans="2:8" ht="12.75">
      <c r="B560" s="437"/>
      <c r="C560" s="437"/>
      <c r="D560" s="437"/>
      <c r="E560" s="437"/>
      <c r="F560" s="437"/>
      <c r="G560" s="437"/>
      <c r="H560" s="437"/>
    </row>
    <row r="561" spans="2:8" ht="12.75">
      <c r="B561" s="437"/>
      <c r="C561" s="437"/>
      <c r="D561" s="437"/>
      <c r="E561" s="437"/>
      <c r="F561" s="437"/>
      <c r="G561" s="437"/>
      <c r="H561" s="437"/>
    </row>
    <row r="562" spans="2:8" ht="12.75">
      <c r="B562" s="437"/>
      <c r="C562" s="437"/>
      <c r="D562" s="437"/>
      <c r="E562" s="437"/>
      <c r="F562" s="437"/>
      <c r="G562" s="437"/>
      <c r="H562" s="437"/>
    </row>
    <row r="563" spans="2:8" ht="12.75">
      <c r="B563" s="437"/>
      <c r="C563" s="437"/>
      <c r="D563" s="437"/>
      <c r="E563" s="437"/>
      <c r="F563" s="437"/>
      <c r="G563" s="437"/>
      <c r="H563" s="437"/>
    </row>
    <row r="564" spans="2:8" ht="12.75">
      <c r="B564" s="437"/>
      <c r="C564" s="437"/>
      <c r="D564" s="437"/>
      <c r="E564" s="437"/>
      <c r="F564" s="437"/>
      <c r="G564" s="437"/>
      <c r="H564" s="437"/>
    </row>
    <row r="565" spans="2:8" ht="12.75">
      <c r="B565" s="437"/>
      <c r="C565" s="437"/>
      <c r="D565" s="437"/>
      <c r="E565" s="437"/>
      <c r="F565" s="437"/>
      <c r="G565" s="437"/>
      <c r="H565" s="437"/>
    </row>
    <row r="566" spans="2:8" ht="12.75">
      <c r="B566" s="437"/>
      <c r="C566" s="437"/>
      <c r="D566" s="437"/>
      <c r="E566" s="437"/>
      <c r="F566" s="437"/>
      <c r="G566" s="437"/>
      <c r="H566" s="437"/>
    </row>
    <row r="567" spans="2:8" ht="12.75">
      <c r="B567" s="437"/>
      <c r="C567" s="437"/>
      <c r="D567" s="437"/>
      <c r="E567" s="437"/>
      <c r="F567" s="437"/>
      <c r="G567" s="437"/>
      <c r="H567" s="437"/>
    </row>
    <row r="568" spans="2:8" ht="12.75">
      <c r="B568" s="437"/>
      <c r="C568" s="437"/>
      <c r="D568" s="437"/>
      <c r="E568" s="437"/>
      <c r="F568" s="437"/>
      <c r="G568" s="437"/>
      <c r="H568" s="437"/>
    </row>
    <row r="569" spans="2:8" ht="12.75">
      <c r="B569" s="437"/>
      <c r="C569" s="437"/>
      <c r="D569" s="437"/>
      <c r="E569" s="437"/>
      <c r="F569" s="437"/>
      <c r="G569" s="437"/>
      <c r="H569" s="437"/>
    </row>
    <row r="570" spans="2:8" ht="12.75">
      <c r="B570" s="437"/>
      <c r="C570" s="437"/>
      <c r="D570" s="437"/>
      <c r="E570" s="437"/>
      <c r="F570" s="437"/>
      <c r="G570" s="437"/>
      <c r="H570" s="437"/>
    </row>
    <row r="571" spans="2:8" ht="12.75">
      <c r="B571" s="437"/>
      <c r="C571" s="437"/>
      <c r="D571" s="437"/>
      <c r="E571" s="437"/>
      <c r="F571" s="437"/>
      <c r="G571" s="437"/>
      <c r="H571" s="437"/>
    </row>
    <row r="572" spans="2:8" ht="12.75">
      <c r="B572" s="437"/>
      <c r="C572" s="437"/>
      <c r="D572" s="437"/>
      <c r="E572" s="437"/>
      <c r="F572" s="437"/>
      <c r="G572" s="437"/>
      <c r="H572" s="437"/>
    </row>
    <row r="573" spans="2:8" ht="12.75">
      <c r="B573" s="437"/>
      <c r="C573" s="437"/>
      <c r="D573" s="437"/>
      <c r="E573" s="437"/>
      <c r="F573" s="437"/>
      <c r="G573" s="437"/>
      <c r="H573" s="437"/>
    </row>
    <row r="574" spans="2:8" ht="12.75">
      <c r="B574" s="437"/>
      <c r="C574" s="437"/>
      <c r="D574" s="437"/>
      <c r="E574" s="437"/>
      <c r="F574" s="437"/>
      <c r="G574" s="437"/>
      <c r="H574" s="437"/>
    </row>
    <row r="575" spans="2:8" ht="12.75">
      <c r="B575" s="437"/>
      <c r="C575" s="437"/>
      <c r="D575" s="437"/>
      <c r="E575" s="437"/>
      <c r="F575" s="437"/>
      <c r="G575" s="437"/>
      <c r="H575" s="437"/>
    </row>
    <row r="576" spans="2:8" ht="12.75">
      <c r="B576" s="437"/>
      <c r="C576" s="437"/>
      <c r="D576" s="437"/>
      <c r="E576" s="437"/>
      <c r="F576" s="437"/>
      <c r="G576" s="437"/>
      <c r="H576" s="437"/>
    </row>
    <row r="577" spans="2:8" ht="12.75">
      <c r="B577" s="437"/>
      <c r="C577" s="437"/>
      <c r="D577" s="437"/>
      <c r="E577" s="437"/>
      <c r="F577" s="437"/>
      <c r="G577" s="437"/>
      <c r="H577" s="437"/>
    </row>
    <row r="578" spans="2:8" ht="12.75">
      <c r="B578" s="437"/>
      <c r="C578" s="437"/>
      <c r="D578" s="437"/>
      <c r="E578" s="437"/>
      <c r="F578" s="437"/>
      <c r="G578" s="437"/>
      <c r="H578" s="437"/>
    </row>
    <row r="579" spans="2:8" ht="12.75">
      <c r="B579" s="437"/>
      <c r="C579" s="437"/>
      <c r="D579" s="437"/>
      <c r="E579" s="437"/>
      <c r="F579" s="437"/>
      <c r="G579" s="437"/>
      <c r="H579" s="437"/>
    </row>
    <row r="580" spans="2:8" ht="12.75">
      <c r="B580" s="437"/>
      <c r="C580" s="437"/>
      <c r="D580" s="437"/>
      <c r="E580" s="437"/>
      <c r="F580" s="437"/>
      <c r="G580" s="437"/>
      <c r="H580" s="437"/>
    </row>
    <row r="581" spans="2:8" ht="12.75">
      <c r="B581" s="437"/>
      <c r="C581" s="437"/>
      <c r="D581" s="437"/>
      <c r="E581" s="437"/>
      <c r="F581" s="437"/>
      <c r="G581" s="437"/>
      <c r="H581" s="437"/>
    </row>
    <row r="582" spans="2:8" ht="12.75">
      <c r="B582" s="437"/>
      <c r="C582" s="437"/>
      <c r="D582" s="437"/>
      <c r="E582" s="437"/>
      <c r="F582" s="437"/>
      <c r="G582" s="437"/>
      <c r="H582" s="437"/>
    </row>
    <row r="583" spans="2:8" ht="12.75">
      <c r="B583" s="437"/>
      <c r="C583" s="437"/>
      <c r="D583" s="437"/>
      <c r="E583" s="437"/>
      <c r="F583" s="437"/>
      <c r="G583" s="437"/>
      <c r="H583" s="437"/>
    </row>
    <row r="584" spans="2:8" ht="12.75">
      <c r="B584" s="437"/>
      <c r="C584" s="437"/>
      <c r="D584" s="437"/>
      <c r="E584" s="437"/>
      <c r="F584" s="437"/>
      <c r="G584" s="437"/>
      <c r="H584" s="437"/>
    </row>
    <row r="585" spans="2:8" ht="12.75">
      <c r="B585" s="437"/>
      <c r="C585" s="437"/>
      <c r="D585" s="437"/>
      <c r="E585" s="437"/>
      <c r="F585" s="437"/>
      <c r="G585" s="437"/>
      <c r="H585" s="437"/>
    </row>
    <row r="586" spans="2:8" ht="12.75">
      <c r="B586" s="437"/>
      <c r="C586" s="437"/>
      <c r="D586" s="437"/>
      <c r="E586" s="437"/>
      <c r="F586" s="437"/>
      <c r="G586" s="437"/>
      <c r="H586" s="437"/>
    </row>
    <row r="587" spans="2:8" ht="12.75">
      <c r="B587" s="437"/>
      <c r="C587" s="437"/>
      <c r="D587" s="437"/>
      <c r="E587" s="437"/>
      <c r="F587" s="437"/>
      <c r="G587" s="437"/>
      <c r="H587" s="437"/>
    </row>
    <row r="588" spans="2:8" ht="12.75">
      <c r="B588" s="437"/>
      <c r="C588" s="437"/>
      <c r="D588" s="437"/>
      <c r="E588" s="437"/>
      <c r="F588" s="437"/>
      <c r="G588" s="437"/>
      <c r="H588" s="437"/>
    </row>
    <row r="589" spans="2:8" ht="12.75">
      <c r="B589" s="437"/>
      <c r="C589" s="437"/>
      <c r="D589" s="437"/>
      <c r="E589" s="437"/>
      <c r="F589" s="437"/>
      <c r="G589" s="437"/>
      <c r="H589" s="437"/>
    </row>
    <row r="590" spans="2:8" ht="12.75">
      <c r="B590" s="437"/>
      <c r="C590" s="437"/>
      <c r="D590" s="437"/>
      <c r="E590" s="437"/>
      <c r="F590" s="437"/>
      <c r="G590" s="437"/>
      <c r="H590" s="437"/>
    </row>
    <row r="591" spans="2:8" ht="12.75">
      <c r="B591" s="437"/>
      <c r="C591" s="437"/>
      <c r="D591" s="437"/>
      <c r="E591" s="437"/>
      <c r="F591" s="437"/>
      <c r="G591" s="437"/>
      <c r="H591" s="437"/>
    </row>
    <row r="592" spans="2:8" ht="12.75">
      <c r="B592" s="437"/>
      <c r="C592" s="437"/>
      <c r="D592" s="437"/>
      <c r="E592" s="437"/>
      <c r="F592" s="437"/>
      <c r="G592" s="437"/>
      <c r="H592" s="437"/>
    </row>
    <row r="593" spans="2:8" ht="12.75">
      <c r="B593" s="437"/>
      <c r="C593" s="437"/>
      <c r="D593" s="437"/>
      <c r="E593" s="437"/>
      <c r="F593" s="437"/>
      <c r="G593" s="437"/>
      <c r="H593" s="437"/>
    </row>
    <row r="594" spans="2:8" ht="12.75">
      <c r="B594" s="437"/>
      <c r="C594" s="437"/>
      <c r="D594" s="437"/>
      <c r="E594" s="437"/>
      <c r="F594" s="437"/>
      <c r="G594" s="437"/>
      <c r="H594" s="437"/>
    </row>
    <row r="595" spans="2:8" ht="12.75">
      <c r="B595" s="437"/>
      <c r="C595" s="437"/>
      <c r="D595" s="437"/>
      <c r="E595" s="437"/>
      <c r="F595" s="437"/>
      <c r="G595" s="437"/>
      <c r="H595" s="437"/>
    </row>
    <row r="596" spans="2:8" ht="12.75">
      <c r="B596" s="437"/>
      <c r="C596" s="437"/>
      <c r="D596" s="437"/>
      <c r="E596" s="437"/>
      <c r="F596" s="437"/>
      <c r="G596" s="437"/>
      <c r="H596" s="437"/>
    </row>
    <row r="597" spans="2:8" ht="12.75">
      <c r="B597" s="437"/>
      <c r="C597" s="437"/>
      <c r="D597" s="437"/>
      <c r="E597" s="437"/>
      <c r="F597" s="437"/>
      <c r="G597" s="437"/>
      <c r="H597" s="437"/>
    </row>
    <row r="598" spans="2:8" ht="12.75">
      <c r="B598" s="437"/>
      <c r="C598" s="437"/>
      <c r="D598" s="437"/>
      <c r="E598" s="437"/>
      <c r="F598" s="437"/>
      <c r="G598" s="437"/>
      <c r="H598" s="437"/>
    </row>
    <row r="599" spans="2:8" ht="12.75">
      <c r="B599" s="437"/>
      <c r="C599" s="437"/>
      <c r="D599" s="437"/>
      <c r="E599" s="437"/>
      <c r="F599" s="437"/>
      <c r="G599" s="437"/>
      <c r="H599" s="437"/>
    </row>
    <row r="600" spans="2:8" ht="12.75">
      <c r="B600" s="437"/>
      <c r="C600" s="437"/>
      <c r="D600" s="437"/>
      <c r="E600" s="437"/>
      <c r="F600" s="437"/>
      <c r="G600" s="437"/>
      <c r="H600" s="437"/>
    </row>
    <row r="601" spans="2:8" ht="12.75">
      <c r="B601" s="437"/>
      <c r="C601" s="437"/>
      <c r="D601" s="437"/>
      <c r="E601" s="437"/>
      <c r="F601" s="437"/>
      <c r="G601" s="437"/>
      <c r="H601" s="437"/>
    </row>
    <row r="602" spans="2:8" ht="12.75">
      <c r="B602" s="437"/>
      <c r="C602" s="437"/>
      <c r="D602" s="437"/>
      <c r="E602" s="437"/>
      <c r="F602" s="437"/>
      <c r="G602" s="437"/>
      <c r="H602" s="437"/>
    </row>
    <row r="603" spans="2:8" ht="12.75">
      <c r="B603" s="437"/>
      <c r="C603" s="437"/>
      <c r="D603" s="437"/>
      <c r="E603" s="437"/>
      <c r="F603" s="437"/>
      <c r="G603" s="437"/>
      <c r="H603" s="437"/>
    </row>
    <row r="604" spans="2:8" ht="12.75">
      <c r="B604" s="437"/>
      <c r="C604" s="437"/>
      <c r="D604" s="437"/>
      <c r="E604" s="437"/>
      <c r="F604" s="437"/>
      <c r="G604" s="437"/>
      <c r="H604" s="437"/>
    </row>
    <row r="605" spans="2:8" ht="12.75">
      <c r="B605" s="437"/>
      <c r="C605" s="437"/>
      <c r="D605" s="437"/>
      <c r="E605" s="437"/>
      <c r="F605" s="437"/>
      <c r="G605" s="437"/>
      <c r="H605" s="437"/>
    </row>
    <row r="606" spans="2:8" ht="12.75">
      <c r="B606" s="437"/>
      <c r="C606" s="437"/>
      <c r="D606" s="437"/>
      <c r="E606" s="437"/>
      <c r="F606" s="437"/>
      <c r="G606" s="437"/>
      <c r="H606" s="437"/>
    </row>
    <row r="607" spans="2:8" ht="12.75">
      <c r="B607" s="437"/>
      <c r="C607" s="437"/>
      <c r="D607" s="437"/>
      <c r="E607" s="437"/>
      <c r="F607" s="437"/>
      <c r="G607" s="437"/>
      <c r="H607" s="437"/>
    </row>
    <row r="608" spans="2:8" ht="12.75">
      <c r="B608" s="437"/>
      <c r="C608" s="437"/>
      <c r="D608" s="437"/>
      <c r="E608" s="437"/>
      <c r="F608" s="437"/>
      <c r="G608" s="437"/>
      <c r="H608" s="437"/>
    </row>
    <row r="609" spans="2:8" ht="12.75">
      <c r="B609" s="437"/>
      <c r="C609" s="437"/>
      <c r="D609" s="437"/>
      <c r="E609" s="437"/>
      <c r="F609" s="437"/>
      <c r="G609" s="437"/>
      <c r="H609" s="437"/>
    </row>
    <row r="610" spans="2:8" ht="12.75">
      <c r="B610" s="437"/>
      <c r="C610" s="437"/>
      <c r="D610" s="437"/>
      <c r="E610" s="437"/>
      <c r="F610" s="437"/>
      <c r="G610" s="437"/>
      <c r="H610" s="437"/>
    </row>
    <row r="611" spans="2:8" ht="12.75">
      <c r="B611" s="437"/>
      <c r="C611" s="437"/>
      <c r="D611" s="437"/>
      <c r="E611" s="437"/>
      <c r="F611" s="437"/>
      <c r="G611" s="437"/>
      <c r="H611" s="437"/>
    </row>
    <row r="612" spans="2:8" ht="12.75">
      <c r="B612" s="437"/>
      <c r="C612" s="437"/>
      <c r="D612" s="437"/>
      <c r="E612" s="437"/>
      <c r="F612" s="437"/>
      <c r="G612" s="437"/>
      <c r="H612" s="437"/>
    </row>
    <row r="613" spans="2:8" ht="12.75">
      <c r="B613" s="437"/>
      <c r="C613" s="437"/>
      <c r="D613" s="437"/>
      <c r="E613" s="437"/>
      <c r="F613" s="437"/>
      <c r="G613" s="437"/>
      <c r="H613" s="437"/>
    </row>
    <row r="614" spans="2:8" ht="12.75">
      <c r="B614" s="437"/>
      <c r="C614" s="437"/>
      <c r="D614" s="437"/>
      <c r="E614" s="437"/>
      <c r="F614" s="437"/>
      <c r="G614" s="437"/>
      <c r="H614" s="437"/>
    </row>
    <row r="615" spans="2:8" ht="12.75">
      <c r="B615" s="437"/>
      <c r="C615" s="437"/>
      <c r="D615" s="437"/>
      <c r="E615" s="437"/>
      <c r="F615" s="437"/>
      <c r="G615" s="437"/>
      <c r="H615" s="437"/>
    </row>
    <row r="616" spans="2:8" ht="12.75">
      <c r="B616" s="437"/>
      <c r="C616" s="437"/>
      <c r="D616" s="437"/>
      <c r="E616" s="437"/>
      <c r="F616" s="437"/>
      <c r="G616" s="437"/>
      <c r="H616" s="437"/>
    </row>
    <row r="617" spans="2:8" ht="12.75">
      <c r="B617" s="437"/>
      <c r="C617" s="437"/>
      <c r="D617" s="437"/>
      <c r="E617" s="437"/>
      <c r="F617" s="437"/>
      <c r="G617" s="437"/>
      <c r="H617" s="437"/>
    </row>
    <row r="618" spans="2:8" ht="12.75">
      <c r="B618" s="437"/>
      <c r="C618" s="437"/>
      <c r="D618" s="437"/>
      <c r="E618" s="437"/>
      <c r="F618" s="437"/>
      <c r="G618" s="437"/>
      <c r="H618" s="437"/>
    </row>
    <row r="619" spans="2:8" ht="12.75">
      <c r="B619" s="437"/>
      <c r="C619" s="437"/>
      <c r="D619" s="437"/>
      <c r="E619" s="437"/>
      <c r="F619" s="437"/>
      <c r="G619" s="437"/>
      <c r="H619" s="437"/>
    </row>
    <row r="620" spans="2:8" ht="12.75">
      <c r="B620" s="437"/>
      <c r="C620" s="437"/>
      <c r="D620" s="437"/>
      <c r="E620" s="437"/>
      <c r="F620" s="437"/>
      <c r="G620" s="437"/>
      <c r="H620" s="437"/>
    </row>
    <row r="621" spans="2:8" ht="12.75">
      <c r="B621" s="437"/>
      <c r="C621" s="437"/>
      <c r="D621" s="437"/>
      <c r="E621" s="437"/>
      <c r="F621" s="437"/>
      <c r="G621" s="437"/>
      <c r="H621" s="437"/>
    </row>
    <row r="622" spans="2:8" ht="12.75">
      <c r="B622" s="437"/>
      <c r="C622" s="437"/>
      <c r="D622" s="437"/>
      <c r="E622" s="437"/>
      <c r="F622" s="437"/>
      <c r="G622" s="437"/>
      <c r="H622" s="437"/>
    </row>
    <row r="623" spans="2:8" ht="12.75">
      <c r="B623" s="437"/>
      <c r="C623" s="437"/>
      <c r="D623" s="437"/>
      <c r="E623" s="437"/>
      <c r="F623" s="437"/>
      <c r="G623" s="437"/>
      <c r="H623" s="437"/>
    </row>
    <row r="624" spans="2:8" ht="12.75">
      <c r="B624" s="437"/>
      <c r="C624" s="437"/>
      <c r="D624" s="437"/>
      <c r="E624" s="437"/>
      <c r="F624" s="437"/>
      <c r="G624" s="437"/>
      <c r="H624" s="437"/>
    </row>
    <row r="625" spans="2:8" ht="12.75">
      <c r="B625" s="437"/>
      <c r="C625" s="437"/>
      <c r="D625" s="437"/>
      <c r="E625" s="437"/>
      <c r="F625" s="437"/>
      <c r="G625" s="437"/>
      <c r="H625" s="437"/>
    </row>
    <row r="626" spans="2:8" ht="12.75">
      <c r="B626" s="437"/>
      <c r="C626" s="437"/>
      <c r="D626" s="437"/>
      <c r="E626" s="437"/>
      <c r="F626" s="437"/>
      <c r="G626" s="437"/>
      <c r="H626" s="437"/>
    </row>
    <row r="627" spans="2:8" ht="12.75">
      <c r="B627" s="437"/>
      <c r="C627" s="437"/>
      <c r="D627" s="437"/>
      <c r="E627" s="437"/>
      <c r="F627" s="437"/>
      <c r="G627" s="437"/>
      <c r="H627" s="437"/>
    </row>
    <row r="628" spans="2:8" ht="12.75">
      <c r="B628" s="437"/>
      <c r="C628" s="437"/>
      <c r="D628" s="437"/>
      <c r="E628" s="437"/>
      <c r="F628" s="437"/>
      <c r="G628" s="437"/>
      <c r="H628" s="437"/>
    </row>
    <row r="629" spans="2:8" ht="12.75">
      <c r="B629" s="437"/>
      <c r="C629" s="437"/>
      <c r="D629" s="437"/>
      <c r="E629" s="437"/>
      <c r="F629" s="437"/>
      <c r="G629" s="437"/>
      <c r="H629" s="437"/>
    </row>
    <row r="630" spans="2:8" ht="12.75">
      <c r="B630" s="437"/>
      <c r="C630" s="437"/>
      <c r="D630" s="437"/>
      <c r="E630" s="437"/>
      <c r="F630" s="437"/>
      <c r="G630" s="437"/>
      <c r="H630" s="437"/>
    </row>
    <row r="631" spans="2:8" ht="12.75">
      <c r="B631" s="437"/>
      <c r="C631" s="437"/>
      <c r="D631" s="437"/>
      <c r="E631" s="437"/>
      <c r="F631" s="437"/>
      <c r="G631" s="437"/>
      <c r="H631" s="437"/>
    </row>
    <row r="632" spans="2:8" ht="12.75">
      <c r="B632" s="437"/>
      <c r="C632" s="437"/>
      <c r="D632" s="437"/>
      <c r="E632" s="437"/>
      <c r="F632" s="437"/>
      <c r="G632" s="437"/>
      <c r="H632" s="437"/>
    </row>
    <row r="633" spans="2:8" ht="12.75">
      <c r="B633" s="437"/>
      <c r="C633" s="437"/>
      <c r="D633" s="437"/>
      <c r="E633" s="437"/>
      <c r="F633" s="437"/>
      <c r="G633" s="437"/>
      <c r="H633" s="437"/>
    </row>
    <row r="634" spans="2:8" ht="12.75">
      <c r="B634" s="437"/>
      <c r="C634" s="437"/>
      <c r="D634" s="437"/>
      <c r="E634" s="437"/>
      <c r="F634" s="437"/>
      <c r="G634" s="437"/>
      <c r="H634" s="437"/>
    </row>
    <row r="635" spans="2:8" ht="12.75">
      <c r="B635" s="437"/>
      <c r="C635" s="437"/>
      <c r="D635" s="437"/>
      <c r="E635" s="437"/>
      <c r="F635" s="437"/>
      <c r="G635" s="437"/>
      <c r="H635" s="437"/>
    </row>
    <row r="636" spans="2:8" ht="12.75">
      <c r="B636" s="437"/>
      <c r="C636" s="437"/>
      <c r="D636" s="437"/>
      <c r="E636" s="437"/>
      <c r="F636" s="437"/>
      <c r="G636" s="437"/>
      <c r="H636" s="437"/>
    </row>
    <row r="637" spans="2:8" ht="12.75">
      <c r="B637" s="437"/>
      <c r="C637" s="437"/>
      <c r="D637" s="437"/>
      <c r="E637" s="437"/>
      <c r="F637" s="437"/>
      <c r="G637" s="437"/>
      <c r="H637" s="437"/>
    </row>
    <row r="638" spans="2:8" ht="12.75">
      <c r="B638" s="437"/>
      <c r="C638" s="437"/>
      <c r="D638" s="437"/>
      <c r="E638" s="437"/>
      <c r="F638" s="437"/>
      <c r="G638" s="437"/>
      <c r="H638" s="437"/>
    </row>
    <row r="639" spans="2:8" ht="12.75">
      <c r="B639" s="437"/>
      <c r="C639" s="437"/>
      <c r="D639" s="437"/>
      <c r="E639" s="437"/>
      <c r="F639" s="437"/>
      <c r="G639" s="437"/>
      <c r="H639" s="437"/>
    </row>
    <row r="640" spans="2:8" ht="12.75">
      <c r="B640" s="437"/>
      <c r="C640" s="437"/>
      <c r="D640" s="437"/>
      <c r="E640" s="437"/>
      <c r="F640" s="437"/>
      <c r="G640" s="437"/>
      <c r="H640" s="437"/>
    </row>
    <row r="641" spans="2:8" ht="12.75">
      <c r="B641" s="437"/>
      <c r="C641" s="437"/>
      <c r="D641" s="437"/>
      <c r="E641" s="437"/>
      <c r="F641" s="437"/>
      <c r="G641" s="437"/>
      <c r="H641" s="437"/>
    </row>
    <row r="642" spans="2:8" ht="12.75">
      <c r="B642" s="437"/>
      <c r="C642" s="437"/>
      <c r="D642" s="437"/>
      <c r="E642" s="437"/>
      <c r="F642" s="437"/>
      <c r="G642" s="437"/>
      <c r="H642" s="437"/>
    </row>
    <row r="643" spans="2:8" ht="12.75">
      <c r="B643" s="437"/>
      <c r="C643" s="437"/>
      <c r="D643" s="437"/>
      <c r="E643" s="437"/>
      <c r="F643" s="437"/>
      <c r="G643" s="437"/>
      <c r="H643" s="437"/>
    </row>
    <row r="644" spans="2:8" ht="12.75">
      <c r="B644" s="437"/>
      <c r="C644" s="437"/>
      <c r="D644" s="437"/>
      <c r="E644" s="437"/>
      <c r="F644" s="437"/>
      <c r="G644" s="437"/>
      <c r="H644" s="437"/>
    </row>
    <row r="645" spans="2:8" ht="12.75">
      <c r="B645" s="437"/>
      <c r="C645" s="437"/>
      <c r="D645" s="437"/>
      <c r="E645" s="437"/>
      <c r="F645" s="437"/>
      <c r="G645" s="437"/>
      <c r="H645" s="437"/>
    </row>
    <row r="646" spans="2:8" ht="12.75">
      <c r="B646" s="437"/>
      <c r="C646" s="437"/>
      <c r="D646" s="437"/>
      <c r="E646" s="437"/>
      <c r="F646" s="437"/>
      <c r="G646" s="437"/>
      <c r="H646" s="437"/>
    </row>
    <row r="647" spans="2:8" ht="12.75">
      <c r="B647" s="437"/>
      <c r="C647" s="437"/>
      <c r="D647" s="437"/>
      <c r="E647" s="437"/>
      <c r="F647" s="437"/>
      <c r="G647" s="437"/>
      <c r="H647" s="437"/>
    </row>
    <row r="648" spans="2:8" ht="12.75">
      <c r="B648" s="437"/>
      <c r="C648" s="437"/>
      <c r="D648" s="437"/>
      <c r="E648" s="437"/>
      <c r="F648" s="437"/>
      <c r="G648" s="437"/>
      <c r="H648" s="437"/>
    </row>
    <row r="649" spans="2:8" ht="12.75">
      <c r="B649" s="437"/>
      <c r="C649" s="437"/>
      <c r="D649" s="437"/>
      <c r="E649" s="437"/>
      <c r="F649" s="437"/>
      <c r="G649" s="437"/>
      <c r="H649" s="437"/>
    </row>
    <row r="650" spans="2:8" ht="12.75">
      <c r="B650" s="437"/>
      <c r="C650" s="437"/>
      <c r="D650" s="437"/>
      <c r="E650" s="437"/>
      <c r="F650" s="437"/>
      <c r="G650" s="437"/>
      <c r="H650" s="437"/>
    </row>
    <row r="651" spans="2:8" ht="12.75">
      <c r="B651" s="437"/>
      <c r="C651" s="437"/>
      <c r="D651" s="437"/>
      <c r="E651" s="437"/>
      <c r="F651" s="437"/>
      <c r="G651" s="437"/>
      <c r="H651" s="437"/>
    </row>
    <row r="652" spans="2:8" ht="12.75">
      <c r="B652" s="437"/>
      <c r="C652" s="437"/>
      <c r="D652" s="437"/>
      <c r="E652" s="437"/>
      <c r="F652" s="437"/>
      <c r="G652" s="437"/>
      <c r="H652" s="437"/>
    </row>
    <row r="653" spans="2:8" ht="12.75">
      <c r="B653" s="437"/>
      <c r="C653" s="437"/>
      <c r="D653" s="437"/>
      <c r="E653" s="437"/>
      <c r="F653" s="437"/>
      <c r="G653" s="437"/>
      <c r="H653" s="437"/>
    </row>
    <row r="654" spans="2:8" ht="12.75">
      <c r="B654" s="437"/>
      <c r="C654" s="437"/>
      <c r="D654" s="437"/>
      <c r="E654" s="437"/>
      <c r="F654" s="437"/>
      <c r="G654" s="437"/>
      <c r="H654" s="437"/>
    </row>
    <row r="655" spans="2:8" ht="12.75">
      <c r="B655" s="437"/>
      <c r="C655" s="437"/>
      <c r="D655" s="437"/>
      <c r="E655" s="437"/>
      <c r="F655" s="437"/>
      <c r="G655" s="437"/>
      <c r="H655" s="437"/>
    </row>
    <row r="656" spans="2:8" ht="12.75">
      <c r="B656" s="437"/>
      <c r="C656" s="437"/>
      <c r="D656" s="437"/>
      <c r="E656" s="437"/>
      <c r="F656" s="437"/>
      <c r="G656" s="437"/>
      <c r="H656" s="437"/>
    </row>
    <row r="657" spans="2:8" ht="12.75">
      <c r="B657" s="437"/>
      <c r="C657" s="437"/>
      <c r="D657" s="437"/>
      <c r="E657" s="437"/>
      <c r="F657" s="437"/>
      <c r="G657" s="437"/>
      <c r="H657" s="437"/>
    </row>
    <row r="658" spans="2:8" ht="12.75">
      <c r="B658" s="437"/>
      <c r="C658" s="437"/>
      <c r="D658" s="437"/>
      <c r="E658" s="437"/>
      <c r="F658" s="437"/>
      <c r="G658" s="437"/>
      <c r="H658" s="437"/>
    </row>
    <row r="659" spans="2:8" ht="12.75">
      <c r="B659" s="437"/>
      <c r="C659" s="437"/>
      <c r="D659" s="437"/>
      <c r="E659" s="437"/>
      <c r="F659" s="437"/>
      <c r="G659" s="437"/>
      <c r="H659" s="437"/>
    </row>
    <row r="660" spans="2:8" ht="12.75">
      <c r="B660" s="437"/>
      <c r="C660" s="437"/>
      <c r="D660" s="437"/>
      <c r="E660" s="437"/>
      <c r="F660" s="437"/>
      <c r="G660" s="437"/>
      <c r="H660" s="437"/>
    </row>
    <row r="661" spans="2:8" ht="12.75">
      <c r="B661" s="437"/>
      <c r="C661" s="437"/>
      <c r="D661" s="437"/>
      <c r="E661" s="437"/>
      <c r="F661" s="437"/>
      <c r="G661" s="437"/>
      <c r="H661" s="437"/>
    </row>
    <row r="662" spans="2:8" ht="12.75">
      <c r="B662" s="437"/>
      <c r="C662" s="437"/>
      <c r="D662" s="437"/>
      <c r="E662" s="437"/>
      <c r="F662" s="437"/>
      <c r="G662" s="437"/>
      <c r="H662" s="437"/>
    </row>
    <row r="663" spans="2:8" ht="12.75">
      <c r="B663" s="437"/>
      <c r="C663" s="437"/>
      <c r="D663" s="437"/>
      <c r="E663" s="437"/>
      <c r="F663" s="437"/>
      <c r="G663" s="437"/>
      <c r="H663" s="437"/>
    </row>
    <row r="664" spans="2:8" ht="12.75">
      <c r="B664" s="437"/>
      <c r="C664" s="437"/>
      <c r="D664" s="437"/>
      <c r="E664" s="437"/>
      <c r="F664" s="437"/>
      <c r="G664" s="437"/>
      <c r="H664" s="437"/>
    </row>
    <row r="665" spans="2:8" ht="12.75">
      <c r="B665" s="437"/>
      <c r="C665" s="437"/>
      <c r="D665" s="437"/>
      <c r="E665" s="437"/>
      <c r="F665" s="437"/>
      <c r="G665" s="437"/>
      <c r="H665" s="437"/>
    </row>
    <row r="666" spans="2:8" ht="12.75">
      <c r="B666" s="437"/>
      <c r="C666" s="437"/>
      <c r="D666" s="437"/>
      <c r="E666" s="437"/>
      <c r="F666" s="437"/>
      <c r="G666" s="437"/>
      <c r="H666" s="437"/>
    </row>
    <row r="667" spans="2:8" ht="12.75">
      <c r="B667" s="437"/>
      <c r="C667" s="437"/>
      <c r="D667" s="437"/>
      <c r="E667" s="437"/>
      <c r="F667" s="437"/>
      <c r="G667" s="437"/>
      <c r="H667" s="437"/>
    </row>
    <row r="668" spans="2:8" ht="12.75">
      <c r="B668" s="437"/>
      <c r="C668" s="437"/>
      <c r="D668" s="437"/>
      <c r="E668" s="437"/>
      <c r="F668" s="437"/>
      <c r="G668" s="437"/>
      <c r="H668" s="437"/>
    </row>
    <row r="669" spans="2:8" ht="12.75">
      <c r="B669" s="437"/>
      <c r="C669" s="437"/>
      <c r="D669" s="437"/>
      <c r="E669" s="437"/>
      <c r="F669" s="437"/>
      <c r="G669" s="437"/>
      <c r="H669" s="437"/>
    </row>
    <row r="670" spans="2:8" ht="12.75">
      <c r="B670" s="437"/>
      <c r="C670" s="437"/>
      <c r="D670" s="437"/>
      <c r="E670" s="437"/>
      <c r="F670" s="437"/>
      <c r="G670" s="437"/>
      <c r="H670" s="437"/>
    </row>
    <row r="671" spans="2:8" ht="12.75">
      <c r="B671" s="437"/>
      <c r="C671" s="437"/>
      <c r="D671" s="437"/>
      <c r="E671" s="437"/>
      <c r="F671" s="437"/>
      <c r="G671" s="437"/>
      <c r="H671" s="437"/>
    </row>
    <row r="672" spans="2:8" ht="12.75">
      <c r="B672" s="437"/>
      <c r="C672" s="437"/>
      <c r="D672" s="437"/>
      <c r="E672" s="437"/>
      <c r="F672" s="437"/>
      <c r="G672" s="437"/>
      <c r="H672" s="437"/>
    </row>
    <row r="673" spans="2:8" ht="12.75">
      <c r="B673" s="437"/>
      <c r="C673" s="437"/>
      <c r="D673" s="437"/>
      <c r="E673" s="437"/>
      <c r="F673" s="437"/>
      <c r="G673" s="437"/>
      <c r="H673" s="437"/>
    </row>
    <row r="674" spans="2:8" ht="12.75">
      <c r="B674" s="437"/>
      <c r="C674" s="437"/>
      <c r="D674" s="437"/>
      <c r="E674" s="437"/>
      <c r="F674" s="437"/>
      <c r="G674" s="437"/>
      <c r="H674" s="437"/>
    </row>
    <row r="675" spans="2:8" ht="12.75">
      <c r="B675" s="437"/>
      <c r="C675" s="437"/>
      <c r="D675" s="437"/>
      <c r="E675" s="437"/>
      <c r="F675" s="437"/>
      <c r="G675" s="437"/>
      <c r="H675" s="437"/>
    </row>
    <row r="676" spans="2:8" ht="12.75">
      <c r="B676" s="437"/>
      <c r="C676" s="437"/>
      <c r="D676" s="437"/>
      <c r="E676" s="437"/>
      <c r="F676" s="437"/>
      <c r="G676" s="437"/>
      <c r="H676" s="437"/>
    </row>
    <row r="677" spans="2:8" ht="12.75">
      <c r="B677" s="437"/>
      <c r="C677" s="437"/>
      <c r="D677" s="437"/>
      <c r="E677" s="437"/>
      <c r="F677" s="437"/>
      <c r="G677" s="437"/>
      <c r="H677" s="437"/>
    </row>
    <row r="678" spans="2:8" ht="12.75">
      <c r="B678" s="437"/>
      <c r="C678" s="437"/>
      <c r="D678" s="437"/>
      <c r="E678" s="437"/>
      <c r="F678" s="437"/>
      <c r="G678" s="437"/>
      <c r="H678" s="437"/>
    </row>
    <row r="679" spans="2:8" ht="12.75">
      <c r="B679" s="437"/>
      <c r="C679" s="437"/>
      <c r="D679" s="437"/>
      <c r="E679" s="437"/>
      <c r="F679" s="437"/>
      <c r="G679" s="437"/>
      <c r="H679" s="437"/>
    </row>
    <row r="680" spans="2:8" ht="12.75">
      <c r="B680" s="437"/>
      <c r="C680" s="437"/>
      <c r="D680" s="437"/>
      <c r="E680" s="437"/>
      <c r="F680" s="437"/>
      <c r="G680" s="437"/>
      <c r="H680" s="437"/>
    </row>
    <row r="681" spans="2:8" ht="12.75">
      <c r="B681" s="437"/>
      <c r="C681" s="437"/>
      <c r="D681" s="437"/>
      <c r="E681" s="437"/>
      <c r="F681" s="437"/>
      <c r="G681" s="437"/>
      <c r="H681" s="437"/>
    </row>
    <row r="682" spans="2:8" ht="12.75">
      <c r="B682" s="437"/>
      <c r="C682" s="437"/>
      <c r="D682" s="437"/>
      <c r="E682" s="437"/>
      <c r="F682" s="437"/>
      <c r="G682" s="437"/>
      <c r="H682" s="437"/>
    </row>
    <row r="683" spans="2:8" ht="12.75">
      <c r="B683" s="437"/>
      <c r="C683" s="437"/>
      <c r="D683" s="437"/>
      <c r="E683" s="437"/>
      <c r="F683" s="437"/>
      <c r="G683" s="437"/>
      <c r="H683" s="437"/>
    </row>
    <row r="684" spans="2:8" ht="12.75">
      <c r="B684" s="437"/>
      <c r="C684" s="437"/>
      <c r="D684" s="437"/>
      <c r="E684" s="437"/>
      <c r="F684" s="437"/>
      <c r="G684" s="437"/>
      <c r="H684" s="437"/>
    </row>
    <row r="685" spans="2:8" ht="12.75">
      <c r="B685" s="437"/>
      <c r="C685" s="437"/>
      <c r="D685" s="437"/>
      <c r="E685" s="437"/>
      <c r="F685" s="437"/>
      <c r="G685" s="437"/>
      <c r="H685" s="437"/>
    </row>
    <row r="686" spans="2:8" ht="12.75">
      <c r="B686" s="437"/>
      <c r="C686" s="437"/>
      <c r="D686" s="437"/>
      <c r="E686" s="437"/>
      <c r="F686" s="437"/>
      <c r="G686" s="437"/>
      <c r="H686" s="437"/>
    </row>
    <row r="687" spans="2:8" ht="12.75">
      <c r="B687" s="437"/>
      <c r="C687" s="437"/>
      <c r="D687" s="437"/>
      <c r="E687" s="437"/>
      <c r="F687" s="437"/>
      <c r="G687" s="437"/>
      <c r="H687" s="437"/>
    </row>
    <row r="688" spans="2:8" ht="12.75">
      <c r="B688" s="437"/>
      <c r="C688" s="437"/>
      <c r="D688" s="437"/>
      <c r="E688" s="437"/>
      <c r="F688" s="437"/>
      <c r="G688" s="437"/>
      <c r="H688" s="437"/>
    </row>
    <row r="689" spans="2:8" ht="12.75">
      <c r="B689" s="437"/>
      <c r="C689" s="437"/>
      <c r="D689" s="437"/>
      <c r="E689" s="437"/>
      <c r="F689" s="437"/>
      <c r="G689" s="437"/>
      <c r="H689" s="437"/>
    </row>
    <row r="690" spans="2:8" ht="12.75">
      <c r="B690" s="437"/>
      <c r="C690" s="437"/>
      <c r="D690" s="437"/>
      <c r="E690" s="437"/>
      <c r="F690" s="437"/>
      <c r="G690" s="437"/>
      <c r="H690" s="437"/>
    </row>
    <row r="691" spans="2:8" ht="12.75">
      <c r="B691" s="437"/>
      <c r="C691" s="437"/>
      <c r="D691" s="437"/>
      <c r="E691" s="437"/>
      <c r="F691" s="437"/>
      <c r="G691" s="437"/>
      <c r="H691" s="437"/>
    </row>
    <row r="692" spans="2:8" ht="12.75">
      <c r="B692" s="437"/>
      <c r="C692" s="437"/>
      <c r="D692" s="437"/>
      <c r="E692" s="437"/>
      <c r="F692" s="437"/>
      <c r="G692" s="437"/>
      <c r="H692" s="437"/>
    </row>
    <row r="693" spans="2:8" ht="12.75">
      <c r="B693" s="437"/>
      <c r="C693" s="437"/>
      <c r="D693" s="437"/>
      <c r="E693" s="437"/>
      <c r="F693" s="437"/>
      <c r="G693" s="437"/>
      <c r="H693" s="437"/>
    </row>
    <row r="694" spans="2:8" ht="12.75">
      <c r="B694" s="437"/>
      <c r="C694" s="437"/>
      <c r="D694" s="437"/>
      <c r="E694" s="437"/>
      <c r="F694" s="437"/>
      <c r="G694" s="437"/>
      <c r="H694" s="437"/>
    </row>
    <row r="695" spans="2:8" ht="12.75">
      <c r="B695" s="437"/>
      <c r="C695" s="437"/>
      <c r="D695" s="437"/>
      <c r="E695" s="437"/>
      <c r="F695" s="437"/>
      <c r="G695" s="437"/>
      <c r="H695" s="437"/>
    </row>
    <row r="696" spans="2:8" ht="12.75">
      <c r="B696" s="437"/>
      <c r="C696" s="437"/>
      <c r="D696" s="437"/>
      <c r="E696" s="437"/>
      <c r="F696" s="437"/>
      <c r="G696" s="437"/>
      <c r="H696" s="437"/>
    </row>
    <row r="697" spans="2:8" ht="12.75">
      <c r="B697" s="437"/>
      <c r="C697" s="437"/>
      <c r="D697" s="437"/>
      <c r="E697" s="437"/>
      <c r="F697" s="437"/>
      <c r="G697" s="437"/>
      <c r="H697" s="437"/>
    </row>
    <row r="698" spans="2:8" ht="12.75">
      <c r="B698" s="437"/>
      <c r="C698" s="437"/>
      <c r="D698" s="437"/>
      <c r="E698" s="437"/>
      <c r="F698" s="437"/>
      <c r="G698" s="437"/>
      <c r="H698" s="437"/>
    </row>
    <row r="699" spans="2:8" ht="12.75">
      <c r="B699" s="437"/>
      <c r="C699" s="437"/>
      <c r="D699" s="437"/>
      <c r="E699" s="437"/>
      <c r="F699" s="437"/>
      <c r="G699" s="437"/>
      <c r="H699" s="437"/>
    </row>
    <row r="700" spans="2:8" ht="12.75">
      <c r="B700" s="437"/>
      <c r="C700" s="437"/>
      <c r="D700" s="437"/>
      <c r="E700" s="437"/>
      <c r="F700" s="437"/>
      <c r="G700" s="437"/>
      <c r="H700" s="437"/>
    </row>
    <row r="701" spans="2:8" ht="12.75">
      <c r="B701" s="437"/>
      <c r="C701" s="437"/>
      <c r="D701" s="437"/>
      <c r="E701" s="437"/>
      <c r="F701" s="437"/>
      <c r="G701" s="437"/>
      <c r="H701" s="437"/>
    </row>
    <row r="702" spans="2:8" ht="12.75">
      <c r="B702" s="437"/>
      <c r="C702" s="437"/>
      <c r="D702" s="437"/>
      <c r="E702" s="437"/>
      <c r="F702" s="437"/>
      <c r="G702" s="437"/>
      <c r="H702" s="437"/>
    </row>
    <row r="703" spans="2:8" ht="12.75">
      <c r="B703" s="437"/>
      <c r="C703" s="437"/>
      <c r="D703" s="437"/>
      <c r="E703" s="437"/>
      <c r="F703" s="437"/>
      <c r="G703" s="437"/>
      <c r="H703" s="437"/>
    </row>
    <row r="704" spans="2:8" ht="12.75">
      <c r="B704" s="437"/>
      <c r="C704" s="437"/>
      <c r="D704" s="437"/>
      <c r="E704" s="437"/>
      <c r="F704" s="437"/>
      <c r="G704" s="437"/>
      <c r="H704" s="437"/>
    </row>
    <row r="705" spans="2:8" ht="12.75">
      <c r="B705" s="437"/>
      <c r="C705" s="437"/>
      <c r="D705" s="437"/>
      <c r="E705" s="437"/>
      <c r="F705" s="437"/>
      <c r="G705" s="437"/>
      <c r="H705" s="437"/>
    </row>
    <row r="706" spans="2:8" ht="12.75">
      <c r="B706" s="437"/>
      <c r="C706" s="437"/>
      <c r="D706" s="437"/>
      <c r="E706" s="437"/>
      <c r="F706" s="437"/>
      <c r="G706" s="437"/>
      <c r="H706" s="437"/>
    </row>
    <row r="707" spans="2:8" ht="12.75">
      <c r="B707" s="437"/>
      <c r="C707" s="437"/>
      <c r="D707" s="437"/>
      <c r="E707" s="437"/>
      <c r="F707" s="437"/>
      <c r="G707" s="437"/>
      <c r="H707" s="437"/>
    </row>
    <row r="708" spans="2:8" ht="12.75">
      <c r="B708" s="437"/>
      <c r="C708" s="437"/>
      <c r="D708" s="437"/>
      <c r="E708" s="437"/>
      <c r="F708" s="437"/>
      <c r="G708" s="437"/>
      <c r="H708" s="437"/>
    </row>
    <row r="709" spans="2:8" ht="12.75">
      <c r="B709" s="437"/>
      <c r="C709" s="437"/>
      <c r="D709" s="437"/>
      <c r="E709" s="437"/>
      <c r="F709" s="437"/>
      <c r="G709" s="437"/>
      <c r="H709" s="437"/>
    </row>
    <row r="710" spans="2:8" ht="12.75">
      <c r="B710" s="437"/>
      <c r="C710" s="437"/>
      <c r="D710" s="437"/>
      <c r="E710" s="437"/>
      <c r="F710" s="437"/>
      <c r="G710" s="437"/>
      <c r="H710" s="437"/>
    </row>
    <row r="711" spans="2:8" ht="12.75">
      <c r="B711" s="437"/>
      <c r="C711" s="437"/>
      <c r="D711" s="437"/>
      <c r="E711" s="437"/>
      <c r="F711" s="437"/>
      <c r="G711" s="437"/>
      <c r="H711" s="437"/>
    </row>
    <row r="712" spans="2:8" ht="12.75">
      <c r="B712" s="437"/>
      <c r="C712" s="437"/>
      <c r="D712" s="437"/>
      <c r="E712" s="437"/>
      <c r="F712" s="437"/>
      <c r="G712" s="437"/>
      <c r="H712" s="437"/>
    </row>
    <row r="713" spans="2:8" ht="12.75">
      <c r="B713" s="437"/>
      <c r="C713" s="437"/>
      <c r="D713" s="437"/>
      <c r="E713" s="437"/>
      <c r="F713" s="437"/>
      <c r="G713" s="437"/>
      <c r="H713" s="437"/>
    </row>
    <row r="714" spans="2:8" ht="12.75">
      <c r="B714" s="437"/>
      <c r="C714" s="437"/>
      <c r="D714" s="437"/>
      <c r="E714" s="437"/>
      <c r="F714" s="437"/>
      <c r="G714" s="437"/>
      <c r="H714" s="437"/>
    </row>
    <row r="715" spans="2:8" ht="12.75">
      <c r="B715" s="437"/>
      <c r="C715" s="437"/>
      <c r="D715" s="437"/>
      <c r="E715" s="437"/>
      <c r="F715" s="437"/>
      <c r="G715" s="437"/>
      <c r="H715" s="437"/>
    </row>
    <row r="716" spans="2:8" ht="12.75">
      <c r="B716" s="437"/>
      <c r="C716" s="437"/>
      <c r="D716" s="437"/>
      <c r="E716" s="437"/>
      <c r="F716" s="437"/>
      <c r="G716" s="437"/>
      <c r="H716" s="437"/>
    </row>
    <row r="717" spans="2:8" ht="12.75">
      <c r="B717" s="437"/>
      <c r="C717" s="437"/>
      <c r="D717" s="437"/>
      <c r="E717" s="437"/>
      <c r="F717" s="437"/>
      <c r="G717" s="437"/>
      <c r="H717" s="437"/>
    </row>
    <row r="718" spans="2:8" ht="12.75">
      <c r="B718" s="437"/>
      <c r="C718" s="437"/>
      <c r="D718" s="437"/>
      <c r="E718" s="437"/>
      <c r="F718" s="437"/>
      <c r="G718" s="437"/>
      <c r="H718" s="437"/>
    </row>
    <row r="719" spans="2:8" ht="12.75">
      <c r="B719" s="437"/>
      <c r="C719" s="437"/>
      <c r="D719" s="437"/>
      <c r="E719" s="437"/>
      <c r="F719" s="437"/>
      <c r="G719" s="437"/>
      <c r="H719" s="437"/>
    </row>
    <row r="720" spans="2:8" ht="12.75">
      <c r="B720" s="437"/>
      <c r="C720" s="437"/>
      <c r="D720" s="437"/>
      <c r="E720" s="437"/>
      <c r="F720" s="437"/>
      <c r="G720" s="437"/>
      <c r="H720" s="437"/>
    </row>
    <row r="721" spans="2:8" ht="12.75">
      <c r="B721" s="437"/>
      <c r="C721" s="437"/>
      <c r="D721" s="437"/>
      <c r="E721" s="437"/>
      <c r="F721" s="437"/>
      <c r="G721" s="437"/>
      <c r="H721" s="437"/>
    </row>
    <row r="722" spans="2:8" ht="12.75">
      <c r="B722" s="437"/>
      <c r="C722" s="437"/>
      <c r="D722" s="437"/>
      <c r="E722" s="437"/>
      <c r="F722" s="437"/>
      <c r="G722" s="437"/>
      <c r="H722" s="437"/>
    </row>
    <row r="723" spans="2:8" ht="12.75">
      <c r="B723" s="437"/>
      <c r="C723" s="437"/>
      <c r="D723" s="437"/>
      <c r="E723" s="437"/>
      <c r="F723" s="437"/>
      <c r="G723" s="437"/>
      <c r="H723" s="437"/>
    </row>
    <row r="724" spans="2:8" ht="12.75">
      <c r="B724" s="437"/>
      <c r="C724" s="437"/>
      <c r="D724" s="437"/>
      <c r="E724" s="437"/>
      <c r="F724" s="437"/>
      <c r="G724" s="437"/>
      <c r="H724" s="437"/>
    </row>
    <row r="725" spans="2:8" ht="12.75">
      <c r="B725" s="437"/>
      <c r="C725" s="437"/>
      <c r="D725" s="437"/>
      <c r="E725" s="437"/>
      <c r="F725" s="437"/>
      <c r="G725" s="437"/>
      <c r="H725" s="437"/>
    </row>
    <row r="726" spans="2:8" ht="12.75">
      <c r="B726" s="437"/>
      <c r="C726" s="437"/>
      <c r="D726" s="437"/>
      <c r="E726" s="437"/>
      <c r="F726" s="437"/>
      <c r="G726" s="437"/>
      <c r="H726" s="437"/>
    </row>
    <row r="727" spans="2:8" ht="12.75">
      <c r="B727" s="437"/>
      <c r="C727" s="437"/>
      <c r="D727" s="437"/>
      <c r="E727" s="437"/>
      <c r="F727" s="437"/>
      <c r="G727" s="437"/>
      <c r="H727" s="437"/>
    </row>
    <row r="728" spans="2:8" ht="12.75">
      <c r="B728" s="437"/>
      <c r="C728" s="437"/>
      <c r="D728" s="437"/>
      <c r="E728" s="437"/>
      <c r="F728" s="437"/>
      <c r="G728" s="437"/>
      <c r="H728" s="437"/>
    </row>
    <row r="729" spans="2:8" ht="12.75">
      <c r="B729" s="437"/>
      <c r="C729" s="437"/>
      <c r="D729" s="437"/>
      <c r="E729" s="437"/>
      <c r="F729" s="437"/>
      <c r="G729" s="437"/>
      <c r="H729" s="437"/>
    </row>
    <row r="730" spans="2:8" ht="12.75">
      <c r="B730" s="437"/>
      <c r="C730" s="437"/>
      <c r="D730" s="437"/>
      <c r="E730" s="437"/>
      <c r="F730" s="437"/>
      <c r="G730" s="437"/>
      <c r="H730" s="437"/>
    </row>
    <row r="731" spans="2:8" ht="12.75">
      <c r="B731" s="437"/>
      <c r="C731" s="437"/>
      <c r="D731" s="437"/>
      <c r="E731" s="437"/>
      <c r="F731" s="437"/>
      <c r="G731" s="437"/>
      <c r="H731" s="437"/>
    </row>
    <row r="732" spans="2:8" ht="12.75">
      <c r="B732" s="437"/>
      <c r="C732" s="437"/>
      <c r="D732" s="437"/>
      <c r="E732" s="437"/>
      <c r="F732" s="437"/>
      <c r="G732" s="437"/>
      <c r="H732" s="437"/>
    </row>
    <row r="733" spans="2:8" ht="12.75">
      <c r="B733" s="437"/>
      <c r="C733" s="437"/>
      <c r="D733" s="437"/>
      <c r="E733" s="437"/>
      <c r="F733" s="437"/>
      <c r="G733" s="437"/>
      <c r="H733" s="437"/>
    </row>
    <row r="734" spans="2:8" ht="12.75">
      <c r="B734" s="437"/>
      <c r="C734" s="437"/>
      <c r="D734" s="437"/>
      <c r="E734" s="437"/>
      <c r="F734" s="437"/>
      <c r="G734" s="437"/>
      <c r="H734" s="437"/>
    </row>
    <row r="735" spans="2:8" ht="12.75">
      <c r="B735" s="437"/>
      <c r="C735" s="437"/>
      <c r="D735" s="437"/>
      <c r="E735" s="437"/>
      <c r="F735" s="437"/>
      <c r="G735" s="437"/>
      <c r="H735" s="437"/>
    </row>
    <row r="736" spans="2:8" ht="12.75">
      <c r="B736" s="437"/>
      <c r="C736" s="437"/>
      <c r="D736" s="437"/>
      <c r="E736" s="437"/>
      <c r="F736" s="437"/>
      <c r="G736" s="437"/>
      <c r="H736" s="437"/>
    </row>
    <row r="737" spans="2:8" ht="12.75">
      <c r="B737" s="437"/>
      <c r="C737" s="437"/>
      <c r="D737" s="437"/>
      <c r="E737" s="437"/>
      <c r="F737" s="437"/>
      <c r="G737" s="437"/>
      <c r="H737" s="437"/>
    </row>
    <row r="738" spans="2:8" ht="12.75">
      <c r="B738" s="437"/>
      <c r="C738" s="437"/>
      <c r="D738" s="437"/>
      <c r="E738" s="437"/>
      <c r="F738" s="437"/>
      <c r="G738" s="437"/>
      <c r="H738" s="437"/>
    </row>
    <row r="739" spans="2:8" ht="12.75">
      <c r="B739" s="437"/>
      <c r="C739" s="437"/>
      <c r="D739" s="437"/>
      <c r="E739" s="437"/>
      <c r="F739" s="437"/>
      <c r="G739" s="437"/>
      <c r="H739" s="437"/>
    </row>
    <row r="740" spans="2:8" ht="12.75">
      <c r="B740" s="437"/>
      <c r="C740" s="437"/>
      <c r="D740" s="437"/>
      <c r="E740" s="437"/>
      <c r="F740" s="437"/>
      <c r="G740" s="437"/>
      <c r="H740" s="437"/>
    </row>
    <row r="741" spans="2:8" ht="12.75">
      <c r="B741" s="437"/>
      <c r="C741" s="437"/>
      <c r="D741" s="437"/>
      <c r="E741" s="437"/>
      <c r="F741" s="437"/>
      <c r="G741" s="437"/>
      <c r="H741" s="437"/>
    </row>
    <row r="742" spans="2:8" ht="12.75">
      <c r="B742" s="437"/>
      <c r="C742" s="437"/>
      <c r="D742" s="437"/>
      <c r="E742" s="437"/>
      <c r="F742" s="437"/>
      <c r="G742" s="437"/>
      <c r="H742" s="437"/>
    </row>
    <row r="743" spans="2:8" ht="12.75">
      <c r="B743" s="437"/>
      <c r="C743" s="437"/>
      <c r="D743" s="437"/>
      <c r="E743" s="437"/>
      <c r="F743" s="437"/>
      <c r="G743" s="437"/>
      <c r="H743" s="437"/>
    </row>
    <row r="744" spans="2:8" ht="12.75">
      <c r="B744" s="437"/>
      <c r="C744" s="437"/>
      <c r="D744" s="437"/>
      <c r="E744" s="437"/>
      <c r="F744" s="437"/>
      <c r="G744" s="437"/>
      <c r="H744" s="437"/>
    </row>
    <row r="745" spans="2:8" ht="12.75">
      <c r="B745" s="437"/>
      <c r="C745" s="437"/>
      <c r="D745" s="437"/>
      <c r="E745" s="437"/>
      <c r="F745" s="437"/>
      <c r="G745" s="437"/>
      <c r="H745" s="437"/>
    </row>
    <row r="746" spans="2:8" ht="12.75">
      <c r="B746" s="437"/>
      <c r="C746" s="437"/>
      <c r="D746" s="437"/>
      <c r="E746" s="437"/>
      <c r="F746" s="437"/>
      <c r="G746" s="437"/>
      <c r="H746" s="437"/>
    </row>
    <row r="747" spans="2:8" ht="12.75">
      <c r="B747" s="437"/>
      <c r="C747" s="437"/>
      <c r="D747" s="437"/>
      <c r="E747" s="437"/>
      <c r="F747" s="437"/>
      <c r="G747" s="437"/>
      <c r="H747" s="437"/>
    </row>
    <row r="748" spans="2:8" ht="12.75">
      <c r="B748" s="437"/>
      <c r="C748" s="437"/>
      <c r="D748" s="437"/>
      <c r="E748" s="437"/>
      <c r="F748" s="437"/>
      <c r="G748" s="437"/>
      <c r="H748" s="437"/>
    </row>
    <row r="749" spans="2:8" ht="12.75">
      <c r="B749" s="437"/>
      <c r="C749" s="437"/>
      <c r="D749" s="437"/>
      <c r="E749" s="437"/>
      <c r="F749" s="437"/>
      <c r="G749" s="437"/>
      <c r="H749" s="437"/>
    </row>
    <row r="750" spans="2:8" ht="12.75">
      <c r="B750" s="437"/>
      <c r="C750" s="437"/>
      <c r="D750" s="437"/>
      <c r="E750" s="437"/>
      <c r="F750" s="437"/>
      <c r="G750" s="437"/>
      <c r="H750" s="437"/>
    </row>
    <row r="751" spans="2:8" ht="12.75">
      <c r="B751" s="437"/>
      <c r="C751" s="437"/>
      <c r="D751" s="437"/>
      <c r="E751" s="437"/>
      <c r="F751" s="437"/>
      <c r="G751" s="437"/>
      <c r="H751" s="437"/>
    </row>
    <row r="752" spans="2:8" ht="12.75">
      <c r="B752" s="437"/>
      <c r="C752" s="437"/>
      <c r="D752" s="437"/>
      <c r="E752" s="437"/>
      <c r="F752" s="437"/>
      <c r="G752" s="437"/>
      <c r="H752" s="437"/>
    </row>
    <row r="753" spans="2:8" ht="12.75">
      <c r="B753" s="437"/>
      <c r="C753" s="437"/>
      <c r="D753" s="437"/>
      <c r="E753" s="437"/>
      <c r="F753" s="437"/>
      <c r="G753" s="437"/>
      <c r="H753" s="437"/>
    </row>
    <row r="754" spans="2:8" ht="12.75">
      <c r="B754" s="437"/>
      <c r="C754" s="437"/>
      <c r="D754" s="437"/>
      <c r="E754" s="437"/>
      <c r="F754" s="437"/>
      <c r="G754" s="437"/>
      <c r="H754" s="437"/>
    </row>
    <row r="755" spans="2:8" ht="12.75">
      <c r="B755" s="437"/>
      <c r="C755" s="437"/>
      <c r="D755" s="437"/>
      <c r="E755" s="437"/>
      <c r="F755" s="437"/>
      <c r="G755" s="437"/>
      <c r="H755" s="437"/>
    </row>
    <row r="756" spans="2:8" ht="12.75">
      <c r="B756" s="437"/>
      <c r="C756" s="437"/>
      <c r="D756" s="437"/>
      <c r="E756" s="437"/>
      <c r="F756" s="437"/>
      <c r="G756" s="437"/>
      <c r="H756" s="437"/>
    </row>
    <row r="757" spans="2:8" ht="12.75">
      <c r="B757" s="437"/>
      <c r="C757" s="437"/>
      <c r="D757" s="437"/>
      <c r="E757" s="437"/>
      <c r="F757" s="437"/>
      <c r="G757" s="437"/>
      <c r="H757" s="437"/>
    </row>
    <row r="758" spans="2:8" ht="12.75">
      <c r="B758" s="437"/>
      <c r="C758" s="437"/>
      <c r="D758" s="437"/>
      <c r="E758" s="437"/>
      <c r="F758" s="437"/>
      <c r="G758" s="437"/>
      <c r="H758" s="437"/>
    </row>
    <row r="759" spans="2:8" ht="12.75">
      <c r="B759" s="437"/>
      <c r="C759" s="437"/>
      <c r="D759" s="437"/>
      <c r="E759" s="437"/>
      <c r="F759" s="437"/>
      <c r="G759" s="437"/>
      <c r="H759" s="437"/>
    </row>
    <row r="760" spans="2:8" ht="12.75">
      <c r="B760" s="437"/>
      <c r="C760" s="437"/>
      <c r="D760" s="437"/>
      <c r="E760" s="437"/>
      <c r="F760" s="437"/>
      <c r="G760" s="437"/>
      <c r="H760" s="437"/>
    </row>
    <row r="761" spans="2:8" ht="12.75">
      <c r="B761" s="437"/>
      <c r="C761" s="437"/>
      <c r="D761" s="437"/>
      <c r="E761" s="437"/>
      <c r="F761" s="437"/>
      <c r="G761" s="437"/>
      <c r="H761" s="437"/>
    </row>
    <row r="762" spans="2:8" ht="12.75">
      <c r="B762" s="437"/>
      <c r="C762" s="437"/>
      <c r="D762" s="437"/>
      <c r="E762" s="437"/>
      <c r="F762" s="437"/>
      <c r="G762" s="437"/>
      <c r="H762" s="437"/>
    </row>
    <row r="763" spans="2:8" ht="12.75">
      <c r="B763" s="437"/>
      <c r="C763" s="437"/>
      <c r="D763" s="437"/>
      <c r="E763" s="437"/>
      <c r="F763" s="437"/>
      <c r="G763" s="437"/>
      <c r="H763" s="437"/>
    </row>
    <row r="764" spans="2:8" ht="12.75">
      <c r="B764" s="437"/>
      <c r="C764" s="437"/>
      <c r="D764" s="437"/>
      <c r="E764" s="437"/>
      <c r="F764" s="437"/>
      <c r="G764" s="437"/>
      <c r="H764" s="437"/>
    </row>
    <row r="765" spans="2:8" ht="12.75">
      <c r="B765" s="437"/>
      <c r="C765" s="437"/>
      <c r="D765" s="437"/>
      <c r="E765" s="437"/>
      <c r="F765" s="437"/>
      <c r="G765" s="437"/>
      <c r="H765" s="437"/>
    </row>
    <row r="766" spans="2:8" ht="12.75">
      <c r="B766" s="437"/>
      <c r="C766" s="437"/>
      <c r="D766" s="437"/>
      <c r="E766" s="437"/>
      <c r="F766" s="437"/>
      <c r="G766" s="437"/>
      <c r="H766" s="437"/>
    </row>
    <row r="767" spans="2:8" ht="12.75">
      <c r="B767" s="437"/>
      <c r="C767" s="437"/>
      <c r="D767" s="437"/>
      <c r="E767" s="437"/>
      <c r="F767" s="437"/>
      <c r="G767" s="437"/>
      <c r="H767" s="437"/>
    </row>
    <row r="768" spans="2:8" ht="12.75">
      <c r="B768" s="437"/>
      <c r="C768" s="437"/>
      <c r="D768" s="437"/>
      <c r="E768" s="437"/>
      <c r="F768" s="437"/>
      <c r="G768" s="437"/>
      <c r="H768" s="437"/>
    </row>
    <row r="769" spans="2:8" ht="12.75">
      <c r="B769" s="437"/>
      <c r="C769" s="437"/>
      <c r="D769" s="437"/>
      <c r="E769" s="437"/>
      <c r="F769" s="437"/>
      <c r="G769" s="437"/>
      <c r="H769" s="437"/>
    </row>
    <row r="770" spans="2:8" ht="12.75">
      <c r="B770" s="437"/>
      <c r="C770" s="437"/>
      <c r="D770" s="437"/>
      <c r="E770" s="437"/>
      <c r="F770" s="437"/>
      <c r="G770" s="437"/>
      <c r="H770" s="437"/>
    </row>
    <row r="771" spans="2:8" ht="12.75">
      <c r="B771" s="437"/>
      <c r="C771" s="437"/>
      <c r="D771" s="437"/>
      <c r="E771" s="437"/>
      <c r="F771" s="437"/>
      <c r="G771" s="437"/>
      <c r="H771" s="437"/>
    </row>
    <row r="772" spans="2:8" ht="12.75">
      <c r="B772" s="437"/>
      <c r="C772" s="437"/>
      <c r="D772" s="437"/>
      <c r="E772" s="437"/>
      <c r="F772" s="437"/>
      <c r="G772" s="437"/>
      <c r="H772" s="437"/>
    </row>
    <row r="773" spans="2:8" ht="12.75">
      <c r="B773" s="437"/>
      <c r="C773" s="437"/>
      <c r="D773" s="437"/>
      <c r="E773" s="437"/>
      <c r="F773" s="437"/>
      <c r="G773" s="437"/>
      <c r="H773" s="437"/>
    </row>
    <row r="774" spans="2:8" ht="12.75">
      <c r="B774" s="437"/>
      <c r="C774" s="437"/>
      <c r="D774" s="437"/>
      <c r="E774" s="437"/>
      <c r="F774" s="437"/>
      <c r="G774" s="437"/>
      <c r="H774" s="437"/>
    </row>
    <row r="775" spans="2:8" ht="12.75">
      <c r="B775" s="437"/>
      <c r="C775" s="437"/>
      <c r="D775" s="437"/>
      <c r="E775" s="437"/>
      <c r="F775" s="437"/>
      <c r="G775" s="437"/>
      <c r="H775" s="437"/>
    </row>
    <row r="776" spans="2:8" ht="12.75">
      <c r="B776" s="437"/>
      <c r="C776" s="437"/>
      <c r="D776" s="437"/>
      <c r="E776" s="437"/>
      <c r="F776" s="437"/>
      <c r="G776" s="437"/>
      <c r="H776" s="437"/>
    </row>
    <row r="777" spans="2:8" ht="12.75">
      <c r="B777" s="437"/>
      <c r="C777" s="437"/>
      <c r="D777" s="437"/>
      <c r="E777" s="437"/>
      <c r="F777" s="437"/>
      <c r="G777" s="437"/>
      <c r="H777" s="437"/>
    </row>
    <row r="778" spans="2:8" ht="12.75">
      <c r="B778" s="437"/>
      <c r="C778" s="437"/>
      <c r="D778" s="437"/>
      <c r="E778" s="437"/>
      <c r="F778" s="437"/>
      <c r="G778" s="437"/>
      <c r="H778" s="437"/>
    </row>
    <row r="779" spans="2:8" ht="12.75">
      <c r="B779" s="437"/>
      <c r="C779" s="437"/>
      <c r="D779" s="437"/>
      <c r="E779" s="437"/>
      <c r="F779" s="437"/>
      <c r="G779" s="437"/>
      <c r="H779" s="437"/>
    </row>
    <row r="780" spans="2:8" ht="12.75">
      <c r="B780" s="437"/>
      <c r="C780" s="437"/>
      <c r="D780" s="437"/>
      <c r="E780" s="437"/>
      <c r="F780" s="437"/>
      <c r="G780" s="437"/>
      <c r="H780" s="437"/>
    </row>
    <row r="781" spans="2:8" ht="12.75">
      <c r="B781" s="437"/>
      <c r="C781" s="437"/>
      <c r="D781" s="437"/>
      <c r="E781" s="437"/>
      <c r="F781" s="437"/>
      <c r="G781" s="437"/>
      <c r="H781" s="437"/>
    </row>
    <row r="782" spans="2:8" ht="12.75">
      <c r="B782" s="437"/>
      <c r="C782" s="437"/>
      <c r="D782" s="437"/>
      <c r="E782" s="437"/>
      <c r="F782" s="437"/>
      <c r="G782" s="437"/>
      <c r="H782" s="437"/>
    </row>
    <row r="783" spans="2:8" ht="12.75">
      <c r="B783" s="437"/>
      <c r="C783" s="437"/>
      <c r="D783" s="437"/>
      <c r="E783" s="437"/>
      <c r="F783" s="437"/>
      <c r="G783" s="437"/>
      <c r="H783" s="437"/>
    </row>
    <row r="784" spans="2:8" ht="12.75">
      <c r="B784" s="437"/>
      <c r="C784" s="437"/>
      <c r="D784" s="437"/>
      <c r="E784" s="437"/>
      <c r="F784" s="437"/>
      <c r="G784" s="437"/>
      <c r="H784" s="437"/>
    </row>
    <row r="785" spans="2:8" ht="12.75">
      <c r="B785" s="437"/>
      <c r="C785" s="437"/>
      <c r="D785" s="437"/>
      <c r="E785" s="437"/>
      <c r="F785" s="437"/>
      <c r="G785" s="437"/>
      <c r="H785" s="437"/>
    </row>
    <row r="786" spans="2:8" ht="12.75">
      <c r="B786" s="437"/>
      <c r="C786" s="437"/>
      <c r="D786" s="437"/>
      <c r="E786" s="437"/>
      <c r="F786" s="437"/>
      <c r="G786" s="437"/>
      <c r="H786" s="437"/>
    </row>
    <row r="787" spans="2:8" ht="12.75">
      <c r="B787" s="437"/>
      <c r="C787" s="437"/>
      <c r="D787" s="437"/>
      <c r="E787" s="437"/>
      <c r="F787" s="437"/>
      <c r="G787" s="437"/>
      <c r="H787" s="437"/>
    </row>
    <row r="788" spans="2:8" ht="12.75">
      <c r="B788" s="437"/>
      <c r="C788" s="437"/>
      <c r="D788" s="437"/>
      <c r="E788" s="437"/>
      <c r="F788" s="437"/>
      <c r="G788" s="437"/>
      <c r="H788" s="437"/>
    </row>
    <row r="789" spans="2:8" ht="12.75">
      <c r="B789" s="437"/>
      <c r="C789" s="437"/>
      <c r="D789" s="437"/>
      <c r="E789" s="437"/>
      <c r="F789" s="437"/>
      <c r="G789" s="437"/>
      <c r="H789" s="437"/>
    </row>
    <row r="790" spans="2:8" ht="12.75">
      <c r="B790" s="437"/>
      <c r="C790" s="437"/>
      <c r="D790" s="437"/>
      <c r="E790" s="437"/>
      <c r="F790" s="437"/>
      <c r="G790" s="437"/>
      <c r="H790" s="437"/>
    </row>
    <row r="791" spans="2:8" ht="12.75">
      <c r="B791" s="437"/>
      <c r="C791" s="437"/>
      <c r="D791" s="437"/>
      <c r="E791" s="437"/>
      <c r="F791" s="437"/>
      <c r="G791" s="437"/>
      <c r="H791" s="437"/>
    </row>
    <row r="792" spans="2:8" ht="12.75">
      <c r="B792" s="437"/>
      <c r="C792" s="437"/>
      <c r="D792" s="437"/>
      <c r="E792" s="437"/>
      <c r="F792" s="437"/>
      <c r="G792" s="437"/>
      <c r="H792" s="437"/>
    </row>
    <row r="793" spans="2:8" ht="12.75">
      <c r="B793" s="437"/>
      <c r="C793" s="437"/>
      <c r="D793" s="437"/>
      <c r="E793" s="437"/>
      <c r="F793" s="437"/>
      <c r="G793" s="437"/>
      <c r="H793" s="437"/>
    </row>
    <row r="794" spans="2:8" ht="12.75">
      <c r="B794" s="437"/>
      <c r="C794" s="437"/>
      <c r="D794" s="437"/>
      <c r="E794" s="437"/>
      <c r="F794" s="437"/>
      <c r="G794" s="437"/>
      <c r="H794" s="437"/>
    </row>
  </sheetData>
  <mergeCells count="18">
    <mergeCell ref="T2:T3"/>
    <mergeCell ref="A31:N31"/>
    <mergeCell ref="Q2:Q3"/>
    <mergeCell ref="R2:R3"/>
    <mergeCell ref="M2:M3"/>
    <mergeCell ref="N2:N3"/>
    <mergeCell ref="P2:P3"/>
    <mergeCell ref="A30:N30"/>
    <mergeCell ref="U2:U3"/>
    <mergeCell ref="Y2:Y3"/>
    <mergeCell ref="AA2:AA3"/>
    <mergeCell ref="A2:A3"/>
    <mergeCell ref="L2:L3"/>
    <mergeCell ref="Z2:Z3"/>
    <mergeCell ref="F2:G2"/>
    <mergeCell ref="D2:E2"/>
    <mergeCell ref="B2:C2"/>
    <mergeCell ref="S2:S3"/>
  </mergeCells>
  <printOptions/>
  <pageMargins left="0.45" right="0" top="0.984251968503937" bottom="0.984251968503937" header="0.5118110236220472" footer="0.5118110236220472"/>
  <pageSetup horizontalDpi="600" verticalDpi="600" orientation="landscape" paperSize="9" scale="62" r:id="rId1"/>
  <rowBreaks count="1" manualBreakCount="1">
    <brk id="29" max="24" man="1"/>
  </rowBreaks>
  <colBreaks count="1" manualBreakCount="1">
    <brk id="8" min="1" max="30" man="1"/>
  </colBreaks>
</worksheet>
</file>

<file path=xl/worksheets/sheet7.xml><?xml version="1.0" encoding="utf-8"?>
<worksheet xmlns="http://schemas.openxmlformats.org/spreadsheetml/2006/main" xmlns:r="http://schemas.openxmlformats.org/officeDocument/2006/relationships">
  <sheetPr>
    <tabColor indexed="21"/>
  </sheetPr>
  <dimension ref="A1:L48"/>
  <sheetViews>
    <sheetView showGridLines="0" zoomScale="95" zoomScaleNormal="95" workbookViewId="0" topLeftCell="A1">
      <selection activeCell="A1" sqref="A1"/>
    </sheetView>
  </sheetViews>
  <sheetFormatPr defaultColWidth="9.140625" defaultRowHeight="12.75"/>
  <cols>
    <col min="1" max="11" width="11.421875" style="0" customWidth="1"/>
    <col min="12" max="12" width="21.57421875" style="0" customWidth="1"/>
    <col min="13" max="16384" width="11.421875" style="0" customWidth="1"/>
  </cols>
  <sheetData>
    <row r="1" spans="1:12" ht="12.75">
      <c r="A1" s="645"/>
      <c r="B1" s="645"/>
      <c r="C1" s="645"/>
      <c r="D1" s="645"/>
      <c r="E1" s="645"/>
      <c r="F1" s="645"/>
      <c r="G1" s="645"/>
      <c r="H1" s="645"/>
      <c r="I1" s="645"/>
      <c r="J1" s="645"/>
      <c r="K1" s="645"/>
      <c r="L1" s="645"/>
    </row>
    <row r="2" spans="9:12" ht="12.75">
      <c r="I2" s="645"/>
      <c r="J2" s="645"/>
      <c r="K2" s="645"/>
      <c r="L2" s="645"/>
    </row>
    <row r="3" spans="9:12" ht="12.75">
      <c r="I3" s="645"/>
      <c r="J3" s="645"/>
      <c r="K3" s="645"/>
      <c r="L3" s="645"/>
    </row>
    <row r="4" spans="9:12" ht="12.75">
      <c r="I4" s="645"/>
      <c r="J4" s="645"/>
      <c r="K4" s="645"/>
      <c r="L4" s="645"/>
    </row>
    <row r="5" spans="9:12" ht="12.75">
      <c r="I5" s="645"/>
      <c r="J5" s="645"/>
      <c r="K5" s="645"/>
      <c r="L5" s="645"/>
    </row>
    <row r="6" spans="9:12" ht="12.75">
      <c r="I6" s="645"/>
      <c r="J6" s="645"/>
      <c r="K6" s="645"/>
      <c r="L6" s="645"/>
    </row>
    <row r="7" spans="9:12" ht="12.75">
      <c r="I7" s="645"/>
      <c r="J7" s="645"/>
      <c r="K7" s="645"/>
      <c r="L7" s="645"/>
    </row>
    <row r="8" spans="9:12" ht="12.75">
      <c r="I8" s="645"/>
      <c r="J8" s="645"/>
      <c r="K8" s="645"/>
      <c r="L8" s="645"/>
    </row>
    <row r="9" spans="9:12" ht="12.75">
      <c r="I9" s="645"/>
      <c r="J9" s="645"/>
      <c r="K9" s="645"/>
      <c r="L9" s="645"/>
    </row>
    <row r="10" spans="9:12" ht="12.75">
      <c r="I10" s="645"/>
      <c r="J10" s="645"/>
      <c r="K10" s="645"/>
      <c r="L10" s="645"/>
    </row>
    <row r="11" spans="9:12" ht="12.75">
      <c r="I11" s="645"/>
      <c r="J11" s="645"/>
      <c r="K11" s="645"/>
      <c r="L11" s="645"/>
    </row>
    <row r="12" spans="9:12" ht="12.75">
      <c r="I12" s="645"/>
      <c r="J12" s="645"/>
      <c r="K12" s="645"/>
      <c r="L12" s="645"/>
    </row>
    <row r="13" spans="9:12" ht="12.75">
      <c r="I13" s="645"/>
      <c r="J13" s="645"/>
      <c r="K13" s="645"/>
      <c r="L13" s="645"/>
    </row>
    <row r="14" spans="9:12" ht="12.75">
      <c r="I14" s="645"/>
      <c r="J14" s="645"/>
      <c r="K14" s="645"/>
      <c r="L14" s="645"/>
    </row>
    <row r="15" spans="9:12" ht="12.75">
      <c r="I15" s="645"/>
      <c r="J15" s="645"/>
      <c r="K15" s="645"/>
      <c r="L15" s="645"/>
    </row>
    <row r="16" spans="9:12" ht="12.75">
      <c r="I16" s="645"/>
      <c r="J16" s="645"/>
      <c r="K16" s="645"/>
      <c r="L16" s="645"/>
    </row>
    <row r="17" spans="9:12" ht="12.75">
      <c r="I17" s="645"/>
      <c r="J17" s="645"/>
      <c r="K17" s="645"/>
      <c r="L17" s="645"/>
    </row>
    <row r="18" spans="9:12" ht="12.75">
      <c r="I18" s="645"/>
      <c r="J18" s="645"/>
      <c r="K18" s="645"/>
      <c r="L18" s="645"/>
    </row>
    <row r="19" spans="9:12" ht="12.75">
      <c r="I19" s="645"/>
      <c r="J19" s="645"/>
      <c r="K19" s="645"/>
      <c r="L19" s="645"/>
    </row>
    <row r="20" spans="9:12" ht="12.75">
      <c r="I20" s="645"/>
      <c r="J20" s="645"/>
      <c r="K20" s="645"/>
      <c r="L20" s="645"/>
    </row>
    <row r="21" spans="9:12" ht="12.75">
      <c r="I21" s="645"/>
      <c r="J21" s="645"/>
      <c r="K21" s="645"/>
      <c r="L21" s="645"/>
    </row>
    <row r="22" spans="9:12" ht="12.75">
      <c r="I22" s="645"/>
      <c r="J22" s="645"/>
      <c r="K22" s="645"/>
      <c r="L22" s="645"/>
    </row>
    <row r="23" spans="9:12" ht="12.75">
      <c r="I23" s="645"/>
      <c r="J23" s="645"/>
      <c r="K23" s="645"/>
      <c r="L23" s="645"/>
    </row>
    <row r="24" spans="9:12" ht="12.75">
      <c r="I24" s="645"/>
      <c r="J24" s="645"/>
      <c r="K24" s="645"/>
      <c r="L24" s="645"/>
    </row>
    <row r="25" spans="9:12" ht="12.75">
      <c r="I25" s="645"/>
      <c r="J25" s="645"/>
      <c r="K25" s="645"/>
      <c r="L25" s="645"/>
    </row>
    <row r="26" spans="9:12" ht="12.75">
      <c r="I26" s="645"/>
      <c r="J26" s="645"/>
      <c r="K26" s="645"/>
      <c r="L26" s="645"/>
    </row>
    <row r="27" spans="9:12" ht="12.75">
      <c r="I27" s="645"/>
      <c r="J27" s="645"/>
      <c r="K27" s="645"/>
      <c r="L27" s="645"/>
    </row>
    <row r="28" spans="9:12" ht="12.75">
      <c r="I28" s="645"/>
      <c r="J28" s="645"/>
      <c r="K28" s="645"/>
      <c r="L28" s="645"/>
    </row>
    <row r="29" spans="1:12" ht="30.75" customHeight="1">
      <c r="A29" s="645"/>
      <c r="B29" s="645"/>
      <c r="C29" s="645"/>
      <c r="D29" s="645"/>
      <c r="E29" s="645"/>
      <c r="F29" s="645"/>
      <c r="G29" s="645"/>
      <c r="H29" s="645"/>
      <c r="I29" s="645"/>
      <c r="J29" s="645"/>
      <c r="K29" s="645"/>
      <c r="L29" s="645"/>
    </row>
    <row r="30" spans="1:12" ht="24.75" customHeight="1">
      <c r="A30" s="645"/>
      <c r="B30" s="645"/>
      <c r="C30" s="645"/>
      <c r="D30" s="645"/>
      <c r="E30" s="645"/>
      <c r="F30" s="645"/>
      <c r="G30" s="645"/>
      <c r="H30" s="645"/>
      <c r="I30" s="645"/>
      <c r="J30" s="645"/>
      <c r="K30" s="645"/>
      <c r="L30" s="645"/>
    </row>
    <row r="31" spans="2:4" ht="12.75">
      <c r="B31" t="str">
        <f>'Overview User'!B2</f>
        <v>U1 Power and heat</v>
      </c>
      <c r="C31" t="str">
        <f>'Overview User'!D2</f>
        <v>U2 Industrial</v>
      </c>
      <c r="D31" t="str">
        <f>'Overview User'!F2</f>
        <v>U3 Private households</v>
      </c>
    </row>
    <row r="32" ht="12.75">
      <c r="E32" t="s">
        <v>61</v>
      </c>
    </row>
    <row r="33" spans="1:5" ht="12.75">
      <c r="A33" t="str">
        <f>'Overview User'!A20</f>
        <v>USA</v>
      </c>
      <c r="B33" s="250">
        <f ca="1">(INDIRECT(CONCATENATE("'",$A33,"'","!AL17")))/1000</f>
        <v>81761.91132096054</v>
      </c>
      <c r="C33" s="250">
        <f ca="1">(INDIRECT(CONCATENATE("'",$A33,"'","!AM17")))/1000</f>
        <v>87469.52418322556</v>
      </c>
      <c r="D33" s="250">
        <f ca="1">(INDIRECT(CONCATENATE("'",$A33,"'","!AN17")))/1000</f>
        <v>43243.537676249995</v>
      </c>
      <c r="E33" s="250">
        <f aca="true" t="shared" si="0" ref="E33:E45">SUM(B33:D33)</f>
        <v>212474.97318043606</v>
      </c>
    </row>
    <row r="34" spans="1:5" ht="12.75">
      <c r="A34" t="str">
        <f>'Overview User'!A19</f>
        <v>Canada</v>
      </c>
      <c r="B34" s="250">
        <f aca="true" ca="1" t="shared" si="1" ref="B34:B45">(INDIRECT(CONCATENATE("'",$A34,"'","!AL17")))/1000</f>
        <v>20401.616223950234</v>
      </c>
      <c r="C34" s="250">
        <f aca="true" ca="1" t="shared" si="2" ref="C34:C45">(INDIRECT(CONCATENATE("'",$A34,"'","!AM17")))/1000</f>
        <v>24178</v>
      </c>
      <c r="D34" s="250">
        <f aca="true" ca="1" t="shared" si="3" ref="D34:D45">(INDIRECT(CONCATENATE("'",$A34,"'","!AN17")))/1000</f>
        <v>3230</v>
      </c>
      <c r="E34" s="250">
        <f t="shared" si="0"/>
        <v>47809.61622395023</v>
      </c>
    </row>
    <row r="35" spans="1:5" ht="12.75">
      <c r="A35" t="str">
        <f>'Overview User'!A7</f>
        <v>France</v>
      </c>
      <c r="B35" s="250">
        <f ca="1">(INDIRECT(CONCATENATE("'",$A35,"'","!AL17")))/1000</f>
        <v>513.5</v>
      </c>
      <c r="C35" s="250">
        <f ca="1">(INDIRECT(CONCATENATE("'",$A35,"'","!AM17")))/1000</f>
        <v>3825</v>
      </c>
      <c r="D35" s="250">
        <f ca="1">(INDIRECT(CONCATENATE("'",$A35,"'","!AN17")))/1000</f>
        <v>36926.619718309856</v>
      </c>
      <c r="E35" s="250">
        <f>SUM(B35:D35)</f>
        <v>41265.119718309856</v>
      </c>
    </row>
    <row r="36" spans="1:5" ht="12.75">
      <c r="A36" t="str">
        <f>'Overview User'!A13</f>
        <v>Sweden</v>
      </c>
      <c r="B36" s="250">
        <f ca="1" t="shared" si="1"/>
        <v>10995.45396578538</v>
      </c>
      <c r="C36" s="250">
        <f ca="1" t="shared" si="2"/>
        <v>19458.490824261273</v>
      </c>
      <c r="D36" s="250">
        <f ca="1" t="shared" si="3"/>
        <v>8923.153965785381</v>
      </c>
      <c r="E36" s="250">
        <f>SUM(B36:D36)</f>
        <v>39377.098755832034</v>
      </c>
    </row>
    <row r="37" spans="1:5" ht="12.75">
      <c r="A37" t="str">
        <f>'Overview User'!A6</f>
        <v>Finland</v>
      </c>
      <c r="B37" s="250">
        <f ca="1" t="shared" si="1"/>
        <v>8593.778062315945</v>
      </c>
      <c r="C37" s="250">
        <f ca="1" t="shared" si="2"/>
        <v>18595.560036982282</v>
      </c>
      <c r="D37" s="250">
        <f ca="1" t="shared" si="3"/>
        <v>5723.764546576027</v>
      </c>
      <c r="E37" s="250">
        <f t="shared" si="0"/>
        <v>32913.102645874256</v>
      </c>
    </row>
    <row r="38" spans="1:5" ht="12.75">
      <c r="A38" t="str">
        <f>'Overview User'!A8</f>
        <v>Germany</v>
      </c>
      <c r="B38" s="250">
        <f ca="1" t="shared" si="1"/>
        <v>15363.6</v>
      </c>
      <c r="C38" s="250">
        <f ca="1" t="shared" si="2"/>
        <v>1696</v>
      </c>
      <c r="D38" s="250">
        <f ca="1" t="shared" si="3"/>
        <v>13211</v>
      </c>
      <c r="E38" s="250">
        <f t="shared" si="0"/>
        <v>30270.6</v>
      </c>
    </row>
    <row r="39" spans="1:5" ht="12.75">
      <c r="A39" t="str">
        <f>'Overview User'!A4</f>
        <v>Austria</v>
      </c>
      <c r="B39" s="250">
        <f ca="1" t="shared" si="1"/>
        <v>2050.547462830482</v>
      </c>
      <c r="C39" s="250">
        <f ca="1" t="shared" si="2"/>
        <v>3854.6846</v>
      </c>
      <c r="D39" s="250">
        <f ca="1" t="shared" si="3"/>
        <v>8537.735</v>
      </c>
      <c r="E39" s="250">
        <f t="shared" si="0"/>
        <v>14442.967062830483</v>
      </c>
    </row>
    <row r="40" spans="1:5" ht="12.75">
      <c r="A40" t="str">
        <f>'Overview User'!A5</f>
        <v>Czech Republic</v>
      </c>
      <c r="B40" s="250">
        <f ca="1" t="shared" si="1"/>
        <v>537.8799129082425</v>
      </c>
      <c r="C40" s="250">
        <f ca="1" t="shared" si="2"/>
        <v>2270.1200870917573</v>
      </c>
      <c r="D40" s="250">
        <f ca="1" t="shared" si="3"/>
        <v>5131</v>
      </c>
      <c r="E40" s="250">
        <f t="shared" si="0"/>
        <v>7939</v>
      </c>
    </row>
    <row r="41" spans="1:5" ht="12.75">
      <c r="A41" t="str">
        <f>'Overview User'!A11</f>
        <v>Norway</v>
      </c>
      <c r="B41" s="250">
        <f ca="1" t="shared" si="1"/>
        <v>595.0971732503888</v>
      </c>
      <c r="C41" s="250">
        <f ca="1" t="shared" si="2"/>
        <v>2010.7028267496112</v>
      </c>
      <c r="D41" s="250">
        <f ca="1" t="shared" si="3"/>
        <v>3167</v>
      </c>
      <c r="E41" s="250">
        <f t="shared" si="0"/>
        <v>5772.8</v>
      </c>
    </row>
    <row r="42" spans="1:5" ht="12.75">
      <c r="A42" t="str">
        <f>'Overview User'!A14</f>
        <v>Switzerland</v>
      </c>
      <c r="B42" s="250">
        <f ca="1" t="shared" si="1"/>
        <v>2268</v>
      </c>
      <c r="C42" s="250">
        <f ca="1" t="shared" si="2"/>
        <v>224</v>
      </c>
      <c r="D42" s="250">
        <f ca="1" t="shared" si="3"/>
        <v>1292.804</v>
      </c>
      <c r="E42" s="250">
        <f t="shared" si="0"/>
        <v>3784.804</v>
      </c>
    </row>
    <row r="43" spans="1:5" ht="12.75">
      <c r="A43" t="str">
        <f>'Overview User'!A9</f>
        <v>Lithuania</v>
      </c>
      <c r="B43" s="250">
        <f ca="1" t="shared" si="1"/>
        <v>774.8</v>
      </c>
      <c r="C43" s="250">
        <f ca="1" t="shared" si="2"/>
        <v>421.56</v>
      </c>
      <c r="D43" s="250">
        <f ca="1" t="shared" si="3"/>
        <v>2012.28</v>
      </c>
      <c r="E43" s="250">
        <f t="shared" si="0"/>
        <v>3208.64</v>
      </c>
    </row>
    <row r="44" spans="1:5" ht="12.75">
      <c r="A44" t="str">
        <f>'Overview User'!A12</f>
        <v>Slovenia</v>
      </c>
      <c r="B44" s="250">
        <f ca="1" t="shared" si="1"/>
        <v>27.792</v>
      </c>
      <c r="C44" s="250">
        <f ca="1" t="shared" si="2"/>
        <v>531.063</v>
      </c>
      <c r="D44" s="250">
        <f ca="1" t="shared" si="3"/>
        <v>1654.746</v>
      </c>
      <c r="E44" s="250">
        <f t="shared" si="0"/>
        <v>2213.601</v>
      </c>
    </row>
    <row r="45" spans="1:5" ht="12.75">
      <c r="A45" t="str">
        <f>'Overview User'!A10</f>
        <v>Netherlands</v>
      </c>
      <c r="B45" s="250">
        <f ca="1" t="shared" si="1"/>
        <v>1400</v>
      </c>
      <c r="C45" s="250">
        <f ca="1" t="shared" si="2"/>
        <v>150</v>
      </c>
      <c r="D45" s="250">
        <f ca="1" t="shared" si="3"/>
        <v>412</v>
      </c>
      <c r="E45" s="250">
        <f t="shared" si="0"/>
        <v>1962</v>
      </c>
    </row>
    <row r="46" spans="1:5" ht="12.75">
      <c r="A46" t="str">
        <f>'Overview User'!A15</f>
        <v>United Kingdom</v>
      </c>
      <c r="B46" s="250">
        <f ca="1">(INDIRECT(CONCATENATE("'",$A46,"'","!AL17")))/1000</f>
        <v>707.5</v>
      </c>
      <c r="C46" s="250">
        <f ca="1">(INDIRECT(CONCATENATE("'",$A46,"'","!AM17")))/1000</f>
        <v>234.6</v>
      </c>
      <c r="D46" s="250">
        <f ca="1">(INDIRECT(CONCATENATE("'",$A46,"'","!AN17")))/1000</f>
        <v>620</v>
      </c>
      <c r="E46" s="250">
        <f>SUM(B46:D46)</f>
        <v>1562.1</v>
      </c>
    </row>
    <row r="48" ht="12.75">
      <c r="E48" s="250">
        <f>SUM(E36:E45)</f>
        <v>141884.6134645368</v>
      </c>
    </row>
  </sheetData>
  <printOptions/>
  <pageMargins left="0.75" right="0.75" top="1" bottom="1" header="0.4921259845" footer="0.4921259845"/>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21"/>
  </sheetPr>
  <dimension ref="A1:K48"/>
  <sheetViews>
    <sheetView showGridLines="0" workbookViewId="0" topLeftCell="A1">
      <selection activeCell="A1" sqref="A1"/>
    </sheetView>
  </sheetViews>
  <sheetFormatPr defaultColWidth="9.140625" defaultRowHeight="12.75"/>
  <cols>
    <col min="1" max="1" width="11.421875" style="0" customWidth="1"/>
    <col min="2" max="2" width="24.421875" style="0" customWidth="1"/>
    <col min="3" max="10" width="11.421875" style="0" customWidth="1"/>
    <col min="11" max="11" width="12.57421875" style="0" customWidth="1"/>
    <col min="12" max="16384" width="11.421875" style="0" customWidth="1"/>
  </cols>
  <sheetData>
    <row r="1" spans="8:11" ht="12.75">
      <c r="H1" s="645"/>
      <c r="I1" s="645"/>
      <c r="J1" s="645"/>
      <c r="K1" s="645"/>
    </row>
    <row r="2" spans="8:11" ht="12.75">
      <c r="H2" s="645"/>
      <c r="I2" s="645"/>
      <c r="J2" s="645"/>
      <c r="K2" s="645"/>
    </row>
    <row r="3" spans="8:11" ht="12.75">
      <c r="H3" s="645"/>
      <c r="I3" s="645"/>
      <c r="J3" s="645"/>
      <c r="K3" s="645"/>
    </row>
    <row r="4" spans="8:11" ht="12.75">
      <c r="H4" s="645"/>
      <c r="I4" s="645"/>
      <c r="J4" s="645"/>
      <c r="K4" s="645"/>
    </row>
    <row r="5" spans="8:11" ht="12.75">
      <c r="H5" s="645"/>
      <c r="I5" s="645"/>
      <c r="J5" s="645"/>
      <c r="K5" s="645"/>
    </row>
    <row r="6" spans="8:11" ht="12.75">
      <c r="H6" s="645"/>
      <c r="I6" s="645"/>
      <c r="J6" s="645"/>
      <c r="K6" s="645"/>
    </row>
    <row r="7" spans="8:11" ht="12.75">
      <c r="H7" s="645"/>
      <c r="I7" s="645"/>
      <c r="J7" s="645"/>
      <c r="K7" s="645"/>
    </row>
    <row r="8" spans="8:11" ht="12.75">
      <c r="H8" s="645"/>
      <c r="I8" s="645"/>
      <c r="J8" s="645"/>
      <c r="K8" s="645"/>
    </row>
    <row r="9" spans="8:11" ht="12.75">
      <c r="H9" s="645"/>
      <c r="I9" s="645"/>
      <c r="J9" s="645"/>
      <c r="K9" s="645"/>
    </row>
    <row r="10" spans="8:11" ht="12.75">
      <c r="H10" s="645"/>
      <c r="I10" s="645"/>
      <c r="J10" s="645"/>
      <c r="K10" s="645"/>
    </row>
    <row r="11" spans="8:11" ht="12.75">
      <c r="H11" s="645"/>
      <c r="I11" s="645"/>
      <c r="J11" s="645"/>
      <c r="K11" s="645"/>
    </row>
    <row r="12" spans="8:11" ht="12.75">
      <c r="H12" s="645"/>
      <c r="I12" s="645"/>
      <c r="J12" s="645"/>
      <c r="K12" s="645"/>
    </row>
    <row r="13" spans="8:11" ht="12.75">
      <c r="H13" s="645"/>
      <c r="I13" s="645"/>
      <c r="J13" s="645"/>
      <c r="K13" s="645"/>
    </row>
    <row r="14" spans="8:11" ht="12.75">
      <c r="H14" s="645"/>
      <c r="I14" s="645"/>
      <c r="J14" s="645"/>
      <c r="K14" s="645"/>
    </row>
    <row r="15" spans="8:11" ht="12.75">
      <c r="H15" s="645"/>
      <c r="I15" s="645"/>
      <c r="J15" s="645"/>
      <c r="K15" s="645"/>
    </row>
    <row r="16" spans="8:11" ht="12.75">
      <c r="H16" s="645"/>
      <c r="I16" s="645"/>
      <c r="J16" s="645"/>
      <c r="K16" s="645"/>
    </row>
    <row r="17" spans="8:11" ht="12.75">
      <c r="H17" s="645"/>
      <c r="I17" s="645"/>
      <c r="J17" s="645"/>
      <c r="K17" s="645"/>
    </row>
    <row r="18" spans="8:11" ht="12.75">
      <c r="H18" s="645"/>
      <c r="I18" s="645"/>
      <c r="J18" s="645"/>
      <c r="K18" s="645"/>
    </row>
    <row r="19" spans="8:11" ht="12.75">
      <c r="H19" s="645"/>
      <c r="I19" s="645"/>
      <c r="J19" s="645"/>
      <c r="K19" s="645"/>
    </row>
    <row r="20" spans="8:11" ht="12.75">
      <c r="H20" s="645"/>
      <c r="I20" s="645"/>
      <c r="J20" s="645"/>
      <c r="K20" s="645"/>
    </row>
    <row r="21" spans="8:11" ht="12.75">
      <c r="H21" s="645"/>
      <c r="I21" s="645"/>
      <c r="J21" s="645"/>
      <c r="K21" s="645"/>
    </row>
    <row r="22" spans="8:11" ht="12.75">
      <c r="H22" s="645"/>
      <c r="I22" s="645"/>
      <c r="J22" s="645"/>
      <c r="K22" s="645"/>
    </row>
    <row r="23" spans="8:11" ht="12.75">
      <c r="H23" s="645"/>
      <c r="I23" s="645"/>
      <c r="J23" s="645"/>
      <c r="K23" s="645"/>
    </row>
    <row r="24" spans="8:11" ht="12.75">
      <c r="H24" s="645"/>
      <c r="I24" s="645"/>
      <c r="J24" s="645"/>
      <c r="K24" s="645"/>
    </row>
    <row r="25" spans="8:11" ht="12.75">
      <c r="H25" s="645"/>
      <c r="I25" s="645"/>
      <c r="J25" s="645"/>
      <c r="K25" s="645"/>
    </row>
    <row r="26" spans="8:11" ht="12.75">
      <c r="H26" s="645"/>
      <c r="I26" s="645"/>
      <c r="J26" s="645"/>
      <c r="K26" s="645"/>
    </row>
    <row r="27" spans="8:11" ht="12.75">
      <c r="H27" s="645"/>
      <c r="I27" s="645"/>
      <c r="J27" s="645"/>
      <c r="K27" s="645"/>
    </row>
    <row r="28" spans="8:11" ht="12.75">
      <c r="H28" s="645"/>
      <c r="I28" s="645"/>
      <c r="J28" s="645"/>
      <c r="K28" s="645"/>
    </row>
    <row r="29" spans="1:11" ht="12.75">
      <c r="A29" s="645"/>
      <c r="B29" s="645"/>
      <c r="C29" s="645"/>
      <c r="D29" s="645"/>
      <c r="E29" s="645"/>
      <c r="F29" s="645"/>
      <c r="G29" s="645"/>
      <c r="H29" s="645"/>
      <c r="I29" s="645"/>
      <c r="J29" s="645"/>
      <c r="K29" s="645"/>
    </row>
    <row r="30" spans="1:11" ht="18.75" customHeight="1">
      <c r="A30" s="645"/>
      <c r="B30" s="645"/>
      <c r="C30" s="645"/>
      <c r="D30" s="645"/>
      <c r="E30" s="645"/>
      <c r="F30" s="645"/>
      <c r="G30" s="645"/>
      <c r="H30" s="645"/>
      <c r="I30" s="645"/>
      <c r="J30" s="645"/>
      <c r="K30" s="645"/>
    </row>
    <row r="31" ht="12.75">
      <c r="C31" t="s">
        <v>383</v>
      </c>
    </row>
    <row r="32" ht="12.75">
      <c r="B32" t="s">
        <v>426</v>
      </c>
    </row>
    <row r="33" spans="2:5" ht="12.75">
      <c r="B33" t="s">
        <v>199</v>
      </c>
      <c r="C33" s="514">
        <f ca="1">((((INDIRECT(CONCATENATE("'",$B33,"'","!$AN$23")))/1000000)/Assumptions!$F$20)*Assumptions!$F$30)/VLOOKUP($B33,'Overview User'!$K$4:$U$22,10,FALSE)</f>
        <v>0.0014327104283452438</v>
      </c>
      <c r="D33" s="514"/>
      <c r="E33" s="514"/>
    </row>
    <row r="34" spans="2:5" ht="12.75">
      <c r="B34" t="s">
        <v>284</v>
      </c>
      <c r="C34" s="514">
        <f ca="1">((((INDIRECT(CONCATENATE("'",$B34,"'","!$AN$23")))/1000000)/Assumptions!$F$20)*Assumptions!$F$30)/VLOOKUP($B34,'Overview User'!$K$4:$U$22,10,FALSE)</f>
        <v>0.005118953134510043</v>
      </c>
      <c r="D34" s="514"/>
      <c r="E34" s="514"/>
    </row>
    <row r="35" spans="2:5" ht="12.75">
      <c r="B35" t="s">
        <v>239</v>
      </c>
      <c r="C35" s="514">
        <f ca="1">((((INDIRECT(CONCATENATE("'",$B35,"'","!$AN$23")))/1000000)/Assumptions!$F$20)*Assumptions!$F$30)/VLOOKUP($B35,'Overview User'!$K$4:$U$22,10,FALSE)</f>
        <v>0.018641531433168605</v>
      </c>
      <c r="D35" s="514"/>
      <c r="E35" s="514"/>
    </row>
    <row r="36" spans="2:5" ht="12.75">
      <c r="B36" t="s">
        <v>285</v>
      </c>
      <c r="C36" s="514">
        <f ca="1">((((INDIRECT(CONCATENATE("'",$B36,"'","!$AN$23")))/1000000)/Assumptions!$F$20)*Assumptions!$F$30)/VLOOKUP($B36,'Overview User'!$K$4:$U$22,10,FALSE)</f>
        <v>0.01957980353829006</v>
      </c>
      <c r="D36" s="514"/>
      <c r="E36" s="514"/>
    </row>
    <row r="37" spans="2:5" ht="12.75">
      <c r="B37" t="s">
        <v>271</v>
      </c>
      <c r="C37" s="514">
        <f ca="1">((((INDIRECT(CONCATENATE("'",$B37,"'","!$AN$23")))/1000000)/Assumptions!$F$20)*Assumptions!$F$30)/VLOOKUP($B37,'Overview User'!$K$4:$U$22,10,FALSE)</f>
        <v>0.029900835139452023</v>
      </c>
      <c r="D37" s="514"/>
      <c r="E37" s="514"/>
    </row>
    <row r="38" spans="2:5" ht="12.75">
      <c r="B38" t="s">
        <v>242</v>
      </c>
      <c r="C38" s="514">
        <f ca="1">((((INDIRECT(CONCATENATE("'",$B38,"'","!$AN$23")))/1000000)/Assumptions!$F$20)*Assumptions!$F$30)/VLOOKUP($B38,'Overview User'!$K$4:$U$22,10,FALSE)</f>
        <v>0.032141914669565765</v>
      </c>
      <c r="D38" s="514"/>
      <c r="E38" s="514"/>
    </row>
    <row r="39" spans="2:5" ht="12.75">
      <c r="B39" t="s">
        <v>238</v>
      </c>
      <c r="C39" s="514">
        <f ca="1">((((INDIRECT(CONCATENATE("'",$B39,"'","!$AN$23")))/1000000)/Assumptions!$F$20)*Assumptions!$F$30)/VLOOKUP($B39,'Overview User'!$K$4:$U$22,10,FALSE)</f>
        <v>0.037372992166337216</v>
      </c>
      <c r="D39" s="514"/>
      <c r="E39" s="514"/>
    </row>
    <row r="40" spans="2:5" ht="12.75">
      <c r="B40" t="s">
        <v>256</v>
      </c>
      <c r="C40" s="514">
        <f ca="1">((((INDIRECT(CONCATENATE("'",$B40,"'","!$AN$23")))/1000000)/Assumptions!$F$20)*Assumptions!$F$30)/VLOOKUP($B40,'Overview User'!$K$4:$U$22,10,FALSE)</f>
        <v>0.038086580229201514</v>
      </c>
      <c r="D40" s="514"/>
      <c r="E40" s="514"/>
    </row>
    <row r="41" spans="2:5" ht="12.75">
      <c r="B41" t="s">
        <v>127</v>
      </c>
      <c r="C41" s="514">
        <f ca="1">((((INDIRECT(CONCATENATE("'",$B41,"'","!$AN$23")))/1000000)/Assumptions!$F$20)*Assumptions!$F$30)/VLOOKUP($B41,'Overview User'!$K$4:$U$22,10,FALSE)</f>
        <v>0.044732590985779704</v>
      </c>
      <c r="D41" s="514"/>
      <c r="E41" s="514"/>
    </row>
    <row r="42" spans="2:5" ht="12.75">
      <c r="B42" t="s">
        <v>281</v>
      </c>
      <c r="C42" s="514">
        <f ca="1">((((INDIRECT(CONCATENATE("'",$B42,"'","!$AN$23")))/1000000)/Assumptions!$F$20)*Assumptions!$F$30)/VLOOKUP($B42,'Overview User'!$K$4:$U$22,10,FALSE)</f>
        <v>0.06617133626220363</v>
      </c>
      <c r="D42" s="514"/>
      <c r="E42" s="514"/>
    </row>
    <row r="43" spans="2:5" ht="12.75">
      <c r="B43" t="s">
        <v>280</v>
      </c>
      <c r="C43" s="514">
        <f ca="1">((((INDIRECT(CONCATENATE("'",$B43,"'","!$AN$23")))/1000000)/Assumptions!$F$20)*Assumptions!$F$30)/VLOOKUP($B43,'Overview User'!$K$4:$U$22,10,FALSE)</f>
        <v>0.07507843959243087</v>
      </c>
      <c r="D43" s="514"/>
      <c r="E43" s="514"/>
    </row>
    <row r="44" spans="2:5" ht="12.75">
      <c r="B44" t="s">
        <v>240</v>
      </c>
      <c r="C44" s="514">
        <f ca="1">((((INDIRECT(CONCATENATE("'",$B44,"'","!$AN$23")))/1000000)/Assumptions!$F$20)*Assumptions!$F$30)/VLOOKUP($B44,'Overview User'!$K$4:$U$22,10,FALSE)</f>
        <v>0.09326933636034951</v>
      </c>
      <c r="D44" s="514"/>
      <c r="E44" s="514"/>
    </row>
    <row r="45" spans="2:5" ht="12.75">
      <c r="B45" t="s">
        <v>1</v>
      </c>
      <c r="C45" s="514">
        <f ca="1">((((INDIRECT(CONCATENATE("'",$B45,"'","!$AN$23")))/1000000)/Assumptions!$F$20)*Assumptions!$F$30)/VLOOKUP($B45,'Overview User'!$K$4:$U$22,10,FALSE)</f>
        <v>0.15646690458534174</v>
      </c>
      <c r="D45" s="514"/>
      <c r="E45" s="514"/>
    </row>
    <row r="46" spans="2:5" ht="12.75">
      <c r="B46" t="s">
        <v>122</v>
      </c>
      <c r="C46" s="514">
        <f ca="1">((((INDIRECT(CONCATENATE("'",$B46,"'","!$AN$23")))/1000000)/Assumptions!$F$20)*Assumptions!$F$30)/VLOOKUP($B46,'Overview User'!$K$4:$U$22,10,FALSE)</f>
        <v>0.18520280914760778</v>
      </c>
      <c r="D46" s="514"/>
      <c r="E46" s="514"/>
    </row>
    <row r="48" ht="12.75">
      <c r="A48" s="1511" t="s">
        <v>541</v>
      </c>
    </row>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21"/>
  </sheetPr>
  <dimension ref="A1:AO28"/>
  <sheetViews>
    <sheetView workbookViewId="0" topLeftCell="A1">
      <selection activeCell="A1" sqref="A1"/>
    </sheetView>
  </sheetViews>
  <sheetFormatPr defaultColWidth="9.140625" defaultRowHeight="12.75"/>
  <cols>
    <col min="1" max="1" width="11.421875" style="0" customWidth="1"/>
    <col min="2" max="3" width="6.7109375" style="0" customWidth="1"/>
    <col min="4" max="9" width="11.421875" style="0" customWidth="1"/>
    <col min="10" max="12" width="11.421875" style="1032" customWidth="1"/>
    <col min="13" max="13" width="12.140625" style="1032" customWidth="1"/>
    <col min="14" max="41" width="11.421875" style="1032" customWidth="1"/>
    <col min="42" max="16384" width="11.421875" style="0" customWidth="1"/>
  </cols>
  <sheetData>
    <row r="1" spans="1:13" ht="13.5" thickBot="1">
      <c r="A1" s="645"/>
      <c r="B1" s="645"/>
      <c r="C1" s="645"/>
      <c r="D1" s="645"/>
      <c r="E1" s="645"/>
      <c r="F1" s="645"/>
      <c r="G1" s="645"/>
      <c r="H1" s="645"/>
      <c r="I1" s="645"/>
      <c r="J1" s="1228"/>
      <c r="K1" s="1228"/>
      <c r="L1" s="1228"/>
      <c r="M1" s="1228"/>
    </row>
    <row r="2" spans="1:41" s="20" customFormat="1" ht="22.5" customHeight="1">
      <c r="A2" s="1355" t="s">
        <v>482</v>
      </c>
      <c r="B2" s="1356"/>
      <c r="C2" s="1356"/>
      <c r="D2" s="1356"/>
      <c r="E2" s="1357"/>
      <c r="F2" s="21" t="s">
        <v>4</v>
      </c>
      <c r="G2" s="22" t="s">
        <v>5</v>
      </c>
      <c r="H2" s="22" t="s">
        <v>6</v>
      </c>
      <c r="I2" s="1020" t="s">
        <v>7</v>
      </c>
      <c r="J2" s="1229"/>
      <c r="K2" s="1229"/>
      <c r="L2" s="1229"/>
      <c r="M2" s="1230"/>
      <c r="N2" s="136"/>
      <c r="O2" s="136"/>
      <c r="P2" s="136"/>
      <c r="Q2" s="136"/>
      <c r="R2" s="136"/>
      <c r="S2" s="136"/>
      <c r="T2" s="136"/>
      <c r="U2" s="136"/>
      <c r="V2" s="136"/>
      <c r="W2" s="136"/>
      <c r="X2" s="136"/>
      <c r="Y2" s="136"/>
      <c r="Z2" s="136"/>
      <c r="AA2" s="136"/>
      <c r="AB2" s="136"/>
      <c r="AC2" s="136"/>
      <c r="AD2" s="136"/>
      <c r="AE2" s="137"/>
      <c r="AF2" s="137"/>
      <c r="AG2" s="1021"/>
      <c r="AH2" s="1021"/>
      <c r="AI2" s="1021"/>
      <c r="AJ2" s="1021"/>
      <c r="AK2" s="1021"/>
      <c r="AL2" s="1021"/>
      <c r="AM2" s="1021"/>
      <c r="AN2" s="1021"/>
      <c r="AO2" s="1021"/>
    </row>
    <row r="3" spans="1:41" s="12" customFormat="1" ht="10.5" customHeight="1" thickBot="1">
      <c r="A3" s="1358"/>
      <c r="B3" s="1359"/>
      <c r="C3" s="1359"/>
      <c r="D3" s="1359"/>
      <c r="E3" s="1360"/>
      <c r="F3" s="17"/>
      <c r="G3" s="17"/>
      <c r="H3" s="17"/>
      <c r="I3" s="18"/>
      <c r="J3" s="1231"/>
      <c r="K3" s="1231"/>
      <c r="L3" s="1231"/>
      <c r="M3" s="1232"/>
      <c r="N3" s="16"/>
      <c r="O3" s="16"/>
      <c r="P3" s="16"/>
      <c r="Q3" s="16"/>
      <c r="R3" s="16"/>
      <c r="S3" s="16"/>
      <c r="T3" s="16"/>
      <c r="U3" s="16"/>
      <c r="V3" s="16"/>
      <c r="W3" s="16"/>
      <c r="X3" s="14"/>
      <c r="Y3" s="14"/>
      <c r="Z3" s="14"/>
      <c r="AA3" s="14"/>
      <c r="AB3" s="14"/>
      <c r="AC3" s="14"/>
      <c r="AD3" s="14"/>
      <c r="AE3" s="14"/>
      <c r="AF3" s="14"/>
      <c r="AG3" s="1022"/>
      <c r="AH3" s="1022"/>
      <c r="AI3" s="1022"/>
      <c r="AJ3" s="1022"/>
      <c r="AK3" s="1022"/>
      <c r="AL3" s="1022"/>
      <c r="AM3" s="1022"/>
      <c r="AN3" s="1022"/>
      <c r="AO3" s="1022"/>
    </row>
    <row r="4" spans="1:41" s="1" customFormat="1" ht="15" customHeight="1" thickBot="1">
      <c r="A4" s="13"/>
      <c r="B4" s="5"/>
      <c r="C4" s="14"/>
      <c r="D4" s="27"/>
      <c r="E4" s="28"/>
      <c r="F4" s="29"/>
      <c r="G4" s="29"/>
      <c r="H4" s="29"/>
      <c r="I4" s="30"/>
      <c r="J4" s="1233"/>
      <c r="K4" s="1234"/>
      <c r="L4" s="1234"/>
      <c r="M4" s="1234"/>
      <c r="N4" s="1026"/>
      <c r="O4" s="1026"/>
      <c r="P4" s="1026"/>
      <c r="Q4" s="1026"/>
      <c r="R4" s="1026"/>
      <c r="S4" s="1026"/>
      <c r="T4" s="1026"/>
      <c r="U4" s="1026"/>
      <c r="V4" s="1026"/>
      <c r="W4" s="1026"/>
      <c r="X4" s="1026"/>
      <c r="Y4" s="1026"/>
      <c r="Z4" s="1026"/>
      <c r="AA4" s="1026"/>
      <c r="AB4" s="1026"/>
      <c r="AC4" s="1026"/>
      <c r="AD4" s="1026"/>
      <c r="AE4" s="14"/>
      <c r="AF4" s="14"/>
      <c r="AG4" s="1022"/>
      <c r="AH4" s="1033"/>
      <c r="AI4" s="1022"/>
      <c r="AJ4" s="1022"/>
      <c r="AK4" s="1022"/>
      <c r="AL4" s="1022"/>
      <c r="AM4" s="1022"/>
      <c r="AN4" s="1022"/>
      <c r="AO4" s="1022"/>
    </row>
    <row r="5" spans="1:41" s="1" customFormat="1" ht="13.5" customHeight="1">
      <c r="A5" s="13"/>
      <c r="B5" s="5"/>
      <c r="C5" s="1206"/>
      <c r="D5" s="1361"/>
      <c r="E5" s="1362"/>
      <c r="F5" s="1352" t="s">
        <v>30</v>
      </c>
      <c r="G5" s="1363" t="s">
        <v>114</v>
      </c>
      <c r="H5" s="1350" t="s">
        <v>115</v>
      </c>
      <c r="I5" s="1352" t="s">
        <v>116</v>
      </c>
      <c r="J5" s="1235"/>
      <c r="K5" s="1235"/>
      <c r="L5" s="1235"/>
      <c r="M5" s="1235"/>
      <c r="N5" s="1023"/>
      <c r="O5" s="1023"/>
      <c r="P5" s="1023"/>
      <c r="Q5" s="1027"/>
      <c r="R5" s="1027"/>
      <c r="S5" s="1027"/>
      <c r="T5" s="1027"/>
      <c r="U5" s="1027"/>
      <c r="V5" s="1027"/>
      <c r="W5" s="1027"/>
      <c r="X5" s="1027"/>
      <c r="Y5" s="1027"/>
      <c r="Z5" s="1027"/>
      <c r="AA5" s="1027"/>
      <c r="AB5" s="1027"/>
      <c r="AC5" s="1028"/>
      <c r="AD5" s="1026"/>
      <c r="AE5" s="14"/>
      <c r="AF5" s="14"/>
      <c r="AG5" s="1022"/>
      <c r="AH5" s="1034"/>
      <c r="AI5" s="1022"/>
      <c r="AJ5" s="1035"/>
      <c r="AK5" s="1036"/>
      <c r="AL5" s="1022"/>
      <c r="AM5" s="1022"/>
      <c r="AN5" s="1022"/>
      <c r="AO5" s="1022"/>
    </row>
    <row r="6" spans="1:41" s="1" customFormat="1" ht="12.75" customHeight="1">
      <c r="A6" s="13"/>
      <c r="B6" s="5"/>
      <c r="C6" s="1206"/>
      <c r="D6" s="1362"/>
      <c r="E6" s="1362"/>
      <c r="F6" s="1353"/>
      <c r="G6" s="1364"/>
      <c r="H6" s="1351"/>
      <c r="I6" s="1353"/>
      <c r="J6" s="1236"/>
      <c r="K6" s="1236"/>
      <c r="L6" s="1236"/>
      <c r="M6" s="1236"/>
      <c r="N6" s="1017"/>
      <c r="O6" s="1017"/>
      <c r="P6" s="1017"/>
      <c r="Q6" s="1027"/>
      <c r="R6" s="1027"/>
      <c r="S6" s="1027"/>
      <c r="T6" s="1027"/>
      <c r="U6" s="1027"/>
      <c r="V6" s="1027"/>
      <c r="W6" s="1027"/>
      <c r="X6" s="1027"/>
      <c r="Y6" s="1027"/>
      <c r="Z6" s="1027"/>
      <c r="AA6" s="1027"/>
      <c r="AB6" s="1027"/>
      <c r="AC6" s="1026"/>
      <c r="AD6" s="1026"/>
      <c r="AE6" s="14"/>
      <c r="AF6" s="14"/>
      <c r="AG6" s="1022"/>
      <c r="AH6" s="1037"/>
      <c r="AI6" s="1037"/>
      <c r="AJ6" s="1022"/>
      <c r="AK6" s="1022"/>
      <c r="AL6" s="1022"/>
      <c r="AM6" s="1022"/>
      <c r="AN6" s="1022"/>
      <c r="AO6" s="1022"/>
    </row>
    <row r="7" spans="1:41" s="1" customFormat="1" ht="15" customHeight="1" thickBot="1">
      <c r="A7" s="13"/>
      <c r="B7" s="5"/>
      <c r="C7" s="1207"/>
      <c r="D7" s="1362"/>
      <c r="E7" s="1362"/>
      <c r="F7" s="1353"/>
      <c r="G7" s="1364"/>
      <c r="H7" s="1351"/>
      <c r="I7" s="1353"/>
      <c r="J7" s="1237"/>
      <c r="K7" s="1237"/>
      <c r="L7" s="1237"/>
      <c r="M7" s="1235"/>
      <c r="N7" s="1017"/>
      <c r="O7" s="1038"/>
      <c r="P7" s="1038"/>
      <c r="Q7" s="1027"/>
      <c r="R7" s="1029"/>
      <c r="S7" s="1029"/>
      <c r="T7" s="1029"/>
      <c r="U7" s="1027"/>
      <c r="V7" s="1029"/>
      <c r="W7" s="1029"/>
      <c r="X7" s="1027"/>
      <c r="Y7" s="1027"/>
      <c r="Z7" s="1030"/>
      <c r="AA7" s="1023"/>
      <c r="AB7" s="1023"/>
      <c r="AC7" s="1023"/>
      <c r="AD7" s="1031"/>
      <c r="AE7" s="14"/>
      <c r="AF7" s="14"/>
      <c r="AG7" s="1022"/>
      <c r="AH7" s="1037"/>
      <c r="AI7" s="1037"/>
      <c r="AJ7" s="1039"/>
      <c r="AK7" s="1022"/>
      <c r="AL7" s="1022"/>
      <c r="AM7" s="1022"/>
      <c r="AN7" s="1022"/>
      <c r="AO7" s="1022"/>
    </row>
    <row r="8" spans="1:41" s="1" customFormat="1" ht="24" customHeight="1" thickBot="1">
      <c r="A8" s="13"/>
      <c r="B8" s="5"/>
      <c r="C8" s="1207"/>
      <c r="D8" s="1242"/>
      <c r="E8" s="1243" t="s">
        <v>48</v>
      </c>
      <c r="F8" s="1354"/>
      <c r="G8" s="1364"/>
      <c r="H8" s="1351"/>
      <c r="I8" s="1354"/>
      <c r="J8" s="1238"/>
      <c r="K8" s="1239"/>
      <c r="L8" s="1240"/>
      <c r="M8" s="1234"/>
      <c r="N8" s="1017"/>
      <c r="O8" s="1017"/>
      <c r="P8" s="1023"/>
      <c r="Q8" s="1023"/>
      <c r="R8" s="1023"/>
      <c r="S8" s="1023"/>
      <c r="T8" s="1031"/>
      <c r="U8" s="1023"/>
      <c r="V8" s="1023"/>
      <c r="W8" s="1031"/>
      <c r="X8" s="1023"/>
      <c r="Y8" s="1023"/>
      <c r="Z8" s="1031"/>
      <c r="AA8" s="1017"/>
      <c r="AB8" s="1017"/>
      <c r="AC8" s="1017"/>
      <c r="AD8" s="1026"/>
      <c r="AE8" s="14"/>
      <c r="AF8" s="1040"/>
      <c r="AG8" s="1022"/>
      <c r="AH8" s="1022"/>
      <c r="AI8" s="1022"/>
      <c r="AJ8" s="1022"/>
      <c r="AK8" s="1022"/>
      <c r="AL8" s="1022"/>
      <c r="AM8" s="1022"/>
      <c r="AN8" s="1022"/>
      <c r="AO8" s="1022"/>
    </row>
    <row r="9" spans="1:13" ht="14.25" customHeight="1">
      <c r="A9" s="1019" t="s">
        <v>240</v>
      </c>
      <c r="C9" s="379"/>
      <c r="D9" s="1208"/>
      <c r="E9" s="1512" t="s">
        <v>543</v>
      </c>
      <c r="F9" s="1214">
        <f ca="1">(INDIRECT(CONCATENATE("'",$A9,"'","!H$24")))</f>
        <v>1212480</v>
      </c>
      <c r="G9" s="1215">
        <f ca="1">(INDIRECT(CONCATENATE("'",$A9,"'","!I$24")))</f>
        <v>399106</v>
      </c>
      <c r="H9" s="1215">
        <f ca="1">(INDIRECT(CONCATENATE("'",$A9,"'","!J$24")))</f>
        <v>880487</v>
      </c>
      <c r="I9" s="1216">
        <f ca="1">(INDIRECT(CONCATENATE("'",$A9,"'","!K$24")))</f>
        <v>731099</v>
      </c>
      <c r="J9" s="1228"/>
      <c r="K9" s="1228"/>
      <c r="L9" s="1228"/>
      <c r="M9" s="1228"/>
    </row>
    <row r="10" spans="1:41" s="1" customFormat="1" ht="14.25" customHeight="1">
      <c r="A10" s="1019" t="s">
        <v>238</v>
      </c>
      <c r="B10" s="5"/>
      <c r="C10" s="379"/>
      <c r="D10" s="1209"/>
      <c r="E10" s="1513" t="s">
        <v>543</v>
      </c>
      <c r="F10" s="1217">
        <f aca="true" ca="1" t="shared" si="0" ref="F10:F22">(INDIRECT(CONCATENATE("'",$A10,"'","!H$24")))</f>
        <v>116000</v>
      </c>
      <c r="G10" s="1210">
        <f aca="true" ca="1" t="shared" si="1" ref="G10:G22">(INDIRECT(CONCATENATE("'",$A10,"'","!I$24")))</f>
        <v>1000</v>
      </c>
      <c r="H10" s="1210">
        <f aca="true" ca="1" t="shared" si="2" ref="H10:H22">(INDIRECT(CONCATENATE("'",$A10,"'","!J$24")))</f>
        <v>93000</v>
      </c>
      <c r="I10" s="1218">
        <f aca="true" ca="1" t="shared" si="3" ref="I10:I22">(INDIRECT(CONCATENATE("'",$A10,"'","!K$24")))</f>
        <v>24000</v>
      </c>
      <c r="J10" s="1228"/>
      <c r="K10" s="1228"/>
      <c r="L10" s="1228"/>
      <c r="M10" s="1228"/>
      <c r="N10" s="1032"/>
      <c r="O10" s="1032"/>
      <c r="P10" s="1032"/>
      <c r="Q10" s="1032"/>
      <c r="R10" s="1032"/>
      <c r="S10" s="1032"/>
      <c r="T10" s="1032"/>
      <c r="U10" s="1032"/>
      <c r="V10" s="1032"/>
      <c r="W10" s="1032"/>
      <c r="X10" s="1032"/>
      <c r="Y10" s="1032"/>
      <c r="Z10" s="1032"/>
      <c r="AA10" s="1032"/>
      <c r="AB10" s="1032"/>
      <c r="AC10" s="1032"/>
      <c r="AD10" s="1032"/>
      <c r="AE10" s="14"/>
      <c r="AF10" s="136"/>
      <c r="AG10" s="1022"/>
      <c r="AH10" s="1022"/>
      <c r="AI10" s="1022"/>
      <c r="AJ10" s="651"/>
      <c r="AK10" s="652"/>
      <c r="AL10" s="1024"/>
      <c r="AM10" s="1025"/>
      <c r="AN10" s="1022"/>
      <c r="AO10" s="1022"/>
    </row>
    <row r="11" spans="1:13" ht="14.25" customHeight="1">
      <c r="A11" s="1019" t="s">
        <v>122</v>
      </c>
      <c r="C11" s="379"/>
      <c r="D11" s="1208"/>
      <c r="E11" s="1513" t="s">
        <v>543</v>
      </c>
      <c r="F11" s="1217">
        <f ca="1" t="shared" si="0"/>
        <v>191787</v>
      </c>
      <c r="G11" s="1210">
        <f ca="1" t="shared" si="1"/>
        <v>221</v>
      </c>
      <c r="H11" s="1210">
        <f ca="1" t="shared" si="2"/>
        <v>193503</v>
      </c>
      <c r="I11" s="1218">
        <f ca="1" t="shared" si="3"/>
        <v>-1495</v>
      </c>
      <c r="J11" s="1228"/>
      <c r="K11" s="1228"/>
      <c r="L11" s="1228"/>
      <c r="M11" s="1228"/>
    </row>
    <row r="12" spans="1:13" ht="14.25" customHeight="1">
      <c r="A12" s="1019" t="s">
        <v>242</v>
      </c>
      <c r="C12" s="379"/>
      <c r="D12" s="1208"/>
      <c r="E12" s="1513" t="s">
        <v>543</v>
      </c>
      <c r="F12" s="1219">
        <f ca="1" t="shared" si="0"/>
        <v>150000</v>
      </c>
      <c r="G12" s="1211">
        <f ca="1" t="shared" si="1"/>
        <v>50000</v>
      </c>
      <c r="H12" s="1211">
        <f ca="1" t="shared" si="2"/>
        <v>0</v>
      </c>
      <c r="I12" s="1220">
        <f ca="1" t="shared" si="3"/>
        <v>200000</v>
      </c>
      <c r="J12" s="1228"/>
      <c r="K12" s="1228"/>
      <c r="L12" s="1228"/>
      <c r="M12" s="1228"/>
    </row>
    <row r="13" spans="1:13" ht="14.25" customHeight="1">
      <c r="A13" s="1019" t="s">
        <v>239</v>
      </c>
      <c r="C13" s="379"/>
      <c r="D13" s="1208"/>
      <c r="E13" s="1513" t="s">
        <v>543</v>
      </c>
      <c r="F13" s="1219">
        <f ca="1">(INDIRECT(CONCATENATE("'",$A13,"'","!H$24")))*1000000</f>
        <v>200000</v>
      </c>
      <c r="G13" s="1211">
        <f ca="1" t="shared" si="1"/>
        <v>0</v>
      </c>
      <c r="H13" s="1211">
        <f ca="1" t="shared" si="2"/>
        <v>0</v>
      </c>
      <c r="I13" s="1220">
        <f ca="1">(INDIRECT(CONCATENATE("'",$A13,"'","!K$24")))*1000000</f>
        <v>200000</v>
      </c>
      <c r="J13" s="1228"/>
      <c r="K13" s="1228"/>
      <c r="L13" s="1228"/>
      <c r="M13" s="1228"/>
    </row>
    <row r="14" spans="1:13" ht="14.25" customHeight="1">
      <c r="A14" s="1019" t="s">
        <v>280</v>
      </c>
      <c r="C14" s="379"/>
      <c r="D14" s="1208"/>
      <c r="E14" s="1513" t="s">
        <v>543</v>
      </c>
      <c r="F14" s="1217">
        <f ca="1" t="shared" si="0"/>
        <v>160000</v>
      </c>
      <c r="G14" s="1210">
        <f ca="1" t="shared" si="1"/>
        <v>7514</v>
      </c>
      <c r="H14" s="1210">
        <f ca="1" t="shared" si="2"/>
        <v>83068</v>
      </c>
      <c r="I14" s="1218">
        <f ca="1" t="shared" si="3"/>
        <v>84446</v>
      </c>
      <c r="J14" s="1228"/>
      <c r="K14" s="1228"/>
      <c r="L14" s="1228"/>
      <c r="M14" s="1228"/>
    </row>
    <row r="15" spans="1:13" ht="14.25" customHeight="1">
      <c r="A15" s="1019" t="s">
        <v>284</v>
      </c>
      <c r="C15" s="379"/>
      <c r="D15" s="1208"/>
      <c r="E15" s="1513" t="s">
        <v>543</v>
      </c>
      <c r="F15" s="1217">
        <f ca="1" t="shared" si="0"/>
        <v>60000</v>
      </c>
      <c r="G15" s="1210">
        <f ca="1" t="shared" si="1"/>
        <v>400000</v>
      </c>
      <c r="H15" s="1210">
        <f ca="1" t="shared" si="2"/>
        <v>60000</v>
      </c>
      <c r="I15" s="1218">
        <f ca="1" t="shared" si="3"/>
        <v>400000</v>
      </c>
      <c r="J15" s="1228"/>
      <c r="K15" s="1228"/>
      <c r="L15" s="1228"/>
      <c r="M15" s="1228"/>
    </row>
    <row r="16" spans="1:13" ht="14.25" customHeight="1">
      <c r="A16" s="1019" t="s">
        <v>127</v>
      </c>
      <c r="C16" s="379"/>
      <c r="D16" s="1208"/>
      <c r="E16" s="1513" t="s">
        <v>543</v>
      </c>
      <c r="F16" s="1217">
        <f ca="1" t="shared" si="0"/>
        <v>42339</v>
      </c>
      <c r="G16" s="1210">
        <f ca="1" t="shared" si="1"/>
        <v>233</v>
      </c>
      <c r="H16" s="1210">
        <f ca="1" t="shared" si="2"/>
        <v>17980</v>
      </c>
      <c r="I16" s="1218">
        <f ca="1" t="shared" si="3"/>
        <v>24592</v>
      </c>
      <c r="J16" s="1228"/>
      <c r="K16" s="1228"/>
      <c r="L16" s="1228"/>
      <c r="M16" s="1228"/>
    </row>
    <row r="17" spans="1:13" ht="14.25" customHeight="1">
      <c r="A17" s="1019" t="s">
        <v>281</v>
      </c>
      <c r="C17" s="379"/>
      <c r="D17" s="1208"/>
      <c r="E17" s="1513" t="s">
        <v>543</v>
      </c>
      <c r="F17" s="1217">
        <f ca="1" t="shared" si="0"/>
        <v>35000</v>
      </c>
      <c r="G17" s="1210">
        <f ca="1" t="shared" si="1"/>
        <v>0</v>
      </c>
      <c r="H17" s="1210">
        <f ca="1" t="shared" si="2"/>
        <v>28000</v>
      </c>
      <c r="I17" s="1218">
        <f ca="1" t="shared" si="3"/>
        <v>7000</v>
      </c>
      <c r="J17" s="1228"/>
      <c r="K17" s="1228"/>
      <c r="L17" s="1228"/>
      <c r="M17" s="1228"/>
    </row>
    <row r="18" spans="1:13" ht="14.25" customHeight="1">
      <c r="A18" s="1019" t="s">
        <v>1</v>
      </c>
      <c r="C18" s="379"/>
      <c r="D18" s="1208"/>
      <c r="E18" s="1513" t="s">
        <v>543</v>
      </c>
      <c r="F18" s="1217">
        <f ca="1" t="shared" si="0"/>
        <v>800000</v>
      </c>
      <c r="G18" s="1210">
        <f ca="1" t="shared" si="1"/>
        <v>350000</v>
      </c>
      <c r="H18" s="1210">
        <f ca="1" t="shared" si="2"/>
        <v>0</v>
      </c>
      <c r="I18" s="1218">
        <f ca="1" t="shared" si="3"/>
        <v>1150000</v>
      </c>
      <c r="J18" s="1228"/>
      <c r="K18" s="1228"/>
      <c r="L18" s="1228"/>
      <c r="M18" s="1228"/>
    </row>
    <row r="19" spans="1:13" ht="14.25" customHeight="1">
      <c r="A19" s="1019" t="s">
        <v>271</v>
      </c>
      <c r="C19" s="379"/>
      <c r="D19" s="1208"/>
      <c r="E19" s="1513" t="s">
        <v>543</v>
      </c>
      <c r="F19" s="1221">
        <f ca="1" t="shared" si="0"/>
        <v>0</v>
      </c>
      <c r="G19" s="1212">
        <f ca="1" t="shared" si="1"/>
        <v>0</v>
      </c>
      <c r="H19" s="1212">
        <f ca="1" t="shared" si="2"/>
        <v>0</v>
      </c>
      <c r="I19" s="1222">
        <f ca="1" t="shared" si="3"/>
        <v>0</v>
      </c>
      <c r="J19" s="1228"/>
      <c r="K19" s="1228"/>
      <c r="L19" s="1228"/>
      <c r="M19" s="1228"/>
    </row>
    <row r="20" spans="1:13" ht="14.25" customHeight="1">
      <c r="A20" s="1019" t="s">
        <v>199</v>
      </c>
      <c r="C20" s="379"/>
      <c r="D20" s="1208"/>
      <c r="E20" s="1513" t="s">
        <v>543</v>
      </c>
      <c r="F20" s="1223">
        <f ca="1" t="shared" si="0"/>
        <v>110000</v>
      </c>
      <c r="G20" s="1213">
        <f ca="1" t="shared" si="1"/>
        <v>0</v>
      </c>
      <c r="H20" s="1213">
        <f ca="1" t="shared" si="2"/>
        <v>0</v>
      </c>
      <c r="I20" s="1224">
        <f ca="1" t="shared" si="3"/>
        <v>110000</v>
      </c>
      <c r="J20" s="1228"/>
      <c r="K20" s="1228"/>
      <c r="L20" s="1228"/>
      <c r="M20" s="1228"/>
    </row>
    <row r="21" spans="1:13" ht="14.25" customHeight="1">
      <c r="A21" s="1019" t="s">
        <v>256</v>
      </c>
      <c r="C21" s="379"/>
      <c r="D21" s="1208"/>
      <c r="E21" s="1513" t="s">
        <v>543</v>
      </c>
      <c r="F21" s="1217">
        <f ca="1" t="shared" si="0"/>
        <v>700000</v>
      </c>
      <c r="G21" s="1210">
        <f ca="1" t="shared" si="1"/>
        <v>0</v>
      </c>
      <c r="H21" s="1210">
        <f ca="1" t="shared" si="2"/>
        <v>625000</v>
      </c>
      <c r="I21" s="1218">
        <f ca="1" t="shared" si="3"/>
        <v>75000</v>
      </c>
      <c r="J21" s="1228"/>
      <c r="K21" s="1228"/>
      <c r="L21" s="1228"/>
      <c r="M21" s="1228"/>
    </row>
    <row r="22" spans="1:13" ht="14.25" customHeight="1" thickBot="1">
      <c r="A22" s="1019" t="s">
        <v>285</v>
      </c>
      <c r="C22" s="379"/>
      <c r="D22" s="1208"/>
      <c r="E22" s="1514" t="s">
        <v>543</v>
      </c>
      <c r="F22" s="1225">
        <f ca="1" t="shared" si="0"/>
        <v>740472</v>
      </c>
      <c r="G22" s="1226">
        <f ca="1" t="shared" si="1"/>
        <v>0</v>
      </c>
      <c r="H22" s="1226">
        <f ca="1" t="shared" si="2"/>
        <v>0</v>
      </c>
      <c r="I22" s="1227">
        <f ca="1" t="shared" si="3"/>
        <v>740472</v>
      </c>
      <c r="J22" s="1228"/>
      <c r="K22" s="1228"/>
      <c r="L22" s="1228"/>
      <c r="M22" s="1228"/>
    </row>
    <row r="23" spans="3:13" ht="12.75">
      <c r="C23" s="379"/>
      <c r="D23" s="379"/>
      <c r="J23" s="1228"/>
      <c r="K23" s="1228"/>
      <c r="L23" s="1228"/>
      <c r="M23" s="1228"/>
    </row>
    <row r="24" spans="5:13" ht="12.75">
      <c r="E24" s="347" t="s">
        <v>480</v>
      </c>
      <c r="F24" s="1204">
        <f>SUM(F9:F22)</f>
        <v>4518078</v>
      </c>
      <c r="I24" s="1204">
        <f>SUM(I9:I23)</f>
        <v>3745114</v>
      </c>
      <c r="J24" s="1241"/>
      <c r="K24" s="1228"/>
      <c r="L24" s="1228"/>
      <c r="M24" s="1228"/>
    </row>
    <row r="25" spans="5:13" ht="12.75">
      <c r="E25" s="347"/>
      <c r="I25" s="347"/>
      <c r="J25" s="1241"/>
      <c r="K25" s="1228"/>
      <c r="L25" s="1228"/>
      <c r="M25" s="1228"/>
    </row>
    <row r="26" spans="5:13" ht="12.75">
      <c r="E26" s="347" t="s">
        <v>481</v>
      </c>
      <c r="I26" s="1205">
        <f>I24*1.5</f>
        <v>5617671</v>
      </c>
      <c r="J26" s="1228"/>
      <c r="K26" s="1228"/>
      <c r="L26" s="1228"/>
      <c r="M26" s="1228"/>
    </row>
    <row r="27" spans="1:13" ht="12.75">
      <c r="A27" s="645"/>
      <c r="B27" s="645"/>
      <c r="C27" s="645"/>
      <c r="D27" s="645"/>
      <c r="E27" s="645"/>
      <c r="F27" s="645"/>
      <c r="G27" s="645"/>
      <c r="H27" s="645"/>
      <c r="I27" s="645"/>
      <c r="J27" s="1228"/>
      <c r="K27" s="1228"/>
      <c r="L27" s="1228"/>
      <c r="M27" s="1228"/>
    </row>
    <row r="28" ht="14.25">
      <c r="A28" s="1510" t="s">
        <v>545</v>
      </c>
    </row>
  </sheetData>
  <mergeCells count="6">
    <mergeCell ref="H5:H8"/>
    <mergeCell ref="I5:I8"/>
    <mergeCell ref="A2:E3"/>
    <mergeCell ref="D5:E7"/>
    <mergeCell ref="F5:F8"/>
    <mergeCell ref="G5:G8"/>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Joint Wood Energy Enquiry</dc:subject>
  <dc:creator>UNECE</dc:creator>
  <cp:keywords/>
  <dc:description/>
  <cp:lastModifiedBy>McCusker 27/11/06</cp:lastModifiedBy>
  <cp:lastPrinted>2007-01-17T15:33:54Z</cp:lastPrinted>
  <dcterms:created xsi:type="dcterms:W3CDTF">2006-11-16T15:31:04Z</dcterms:created>
  <dcterms:modified xsi:type="dcterms:W3CDTF">2007-02-26T16:18:59Z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